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stafasogutlutafa/Downloads/"/>
    </mc:Choice>
  </mc:AlternateContent>
  <xr:revisionPtr revIDLastSave="0" documentId="13_ncr:1_{153887EA-D6C3-094B-9333-0EA1163AC5DA}" xr6:coauthVersionLast="47" xr6:coauthVersionMax="47" xr10:uidLastSave="{00000000-0000-0000-0000-000000000000}"/>
  <bookViews>
    <workbookView xWindow="-28800" yWindow="-10720" windowWidth="28800" windowHeight="50600" xr2:uid="{9530DDEB-663E-47F1-93AC-B9BF5A98D192}"/>
  </bookViews>
  <sheets>
    <sheet name="Baro 01.05-31.08 2026" sheetId="1" r:id="rId1"/>
  </sheets>
  <definedNames>
    <definedName name="_xlnm.Print_Area" localSheetId="0">'Baro 01.05-31.08 2026'!$A$1:$P$129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8" i="1" l="1"/>
  <c r="N55" i="1"/>
  <c r="N52" i="1"/>
  <c r="F74" i="1"/>
  <c r="E124" i="1" l="1"/>
  <c r="M123" i="1"/>
  <c r="E123" i="1"/>
  <c r="M122" i="1"/>
  <c r="E122" i="1"/>
  <c r="M121" i="1"/>
  <c r="E121" i="1"/>
  <c r="M120" i="1"/>
  <c r="E120" i="1"/>
  <c r="M119" i="1"/>
  <c r="E119" i="1"/>
  <c r="M118" i="1"/>
  <c r="E118" i="1"/>
  <c r="M117" i="1"/>
  <c r="E117" i="1"/>
  <c r="E116" i="1"/>
  <c r="N109" i="1"/>
  <c r="E108" i="1"/>
  <c r="E106" i="1"/>
  <c r="E105" i="1"/>
  <c r="E104" i="1"/>
  <c r="M103" i="1"/>
  <c r="E103" i="1"/>
  <c r="M102" i="1"/>
  <c r="E102" i="1"/>
  <c r="M101" i="1"/>
  <c r="N98" i="1" s="1"/>
  <c r="E101" i="1"/>
  <c r="E100" i="1"/>
  <c r="E85" i="1"/>
  <c r="E83" i="1"/>
  <c r="E81" i="1"/>
  <c r="E80" i="1"/>
  <c r="E79" i="1"/>
  <c r="E78" i="1"/>
  <c r="F77" i="1"/>
  <c r="F73" i="1"/>
  <c r="E65" i="1"/>
  <c r="F64" i="1"/>
  <c r="F62" i="1"/>
  <c r="F60" i="1"/>
  <c r="E57" i="1"/>
  <c r="M56" i="1"/>
  <c r="E56" i="1"/>
  <c r="E55" i="1"/>
  <c r="E54" i="1"/>
  <c r="M53" i="1"/>
  <c r="E51" i="1"/>
  <c r="M49" i="1"/>
  <c r="N48" i="1" s="1"/>
  <c r="E49" i="1"/>
  <c r="E48" i="1"/>
  <c r="F34" i="1" s="1"/>
  <c r="E47" i="1"/>
  <c r="E46" i="1"/>
  <c r="E45" i="1"/>
  <c r="M44" i="1"/>
  <c r="E44" i="1"/>
  <c r="E43" i="1"/>
  <c r="E42" i="1"/>
  <c r="E40" i="1"/>
  <c r="E39" i="1"/>
  <c r="N37" i="1"/>
  <c r="E38" i="1"/>
  <c r="E37" i="1"/>
  <c r="E35" i="1"/>
  <c r="M31" i="1"/>
  <c r="E31" i="1"/>
  <c r="M30" i="1"/>
  <c r="E30" i="1"/>
  <c r="M29" i="1"/>
  <c r="E29" i="1"/>
  <c r="M28" i="1"/>
  <c r="E28" i="1"/>
  <c r="E27" i="1"/>
  <c r="E25" i="1"/>
  <c r="M24" i="1"/>
  <c r="E24" i="1"/>
  <c r="E23" i="1"/>
  <c r="E22" i="1"/>
  <c r="E21" i="1"/>
  <c r="M20" i="1"/>
  <c r="E20" i="1"/>
  <c r="M19" i="1"/>
  <c r="M17" i="1"/>
  <c r="E17" i="1"/>
  <c r="M16" i="1"/>
  <c r="E16" i="1"/>
  <c r="M15" i="1"/>
  <c r="E15" i="1"/>
  <c r="F12" i="1" s="1"/>
  <c r="M14" i="1"/>
  <c r="E14" i="1"/>
  <c r="M13" i="1"/>
  <c r="E13" i="1"/>
  <c r="M12" i="1"/>
  <c r="M11" i="1"/>
  <c r="F19" i="1" l="1"/>
  <c r="G126" i="1"/>
  <c r="N114" i="1"/>
  <c r="N126" i="1"/>
  <c r="G109" i="1"/>
  <c r="G71" i="1"/>
  <c r="N10" i="1"/>
  <c r="N93" i="1" s="1"/>
  <c r="G10" i="1"/>
  <c r="G93" i="1" s="1"/>
  <c r="G98" i="1"/>
  <c r="G114" i="1"/>
</calcChain>
</file>

<file path=xl/sharedStrings.xml><?xml version="1.0" encoding="utf-8"?>
<sst xmlns="http://schemas.openxmlformats.org/spreadsheetml/2006/main" count="154" uniqueCount="143">
  <si>
    <t>49.924.935.48</t>
  </si>
  <si>
    <t>BARO GELİRLERİ</t>
  </si>
  <si>
    <t>BARO GİDERLERİ</t>
  </si>
  <si>
    <t>Giriş Kesenekleri ve Diğer Gelirler</t>
  </si>
  <si>
    <t>Dergi abonelik bağışı</t>
  </si>
  <si>
    <t>Personel Giderleri</t>
  </si>
  <si>
    <t>Giriş keseneği gelirleri</t>
  </si>
  <si>
    <t>Ücretler</t>
  </si>
  <si>
    <t>Aidat (Yeniden giriş ve nakiller)</t>
  </si>
  <si>
    <t>Sosyal Yardımlar</t>
  </si>
  <si>
    <t>TBB giriş  keseneği</t>
  </si>
  <si>
    <t>Tazminatlar</t>
  </si>
  <si>
    <t>Çay ocağı kira geliri</t>
  </si>
  <si>
    <t>SGK İşveren Payı</t>
  </si>
  <si>
    <t>Kadıköy  kira geliri</t>
  </si>
  <si>
    <t>Personel tamamlayıcı sağlık sigortası bedeli ve yemek bedeli</t>
  </si>
  <si>
    <t>Kanlıca Baro Bahçe kira geliri</t>
  </si>
  <si>
    <t>Kira geliri-Beyoğlu</t>
  </si>
  <si>
    <t>Dışardan Sağlanan Hizmetler ve Diğer Personel Giderleri</t>
  </si>
  <si>
    <t>Bakırköy Ada Cafe kira geliri</t>
  </si>
  <si>
    <t>Enerji, yakıt, su giderleri</t>
  </si>
  <si>
    <t>Hasar Tazminatı</t>
  </si>
  <si>
    <t>Bakım onarım giderleri</t>
  </si>
  <si>
    <t>Para cezaları şikayet</t>
  </si>
  <si>
    <t>Haberleşme giderleri</t>
  </si>
  <si>
    <t>Bağışlar</t>
  </si>
  <si>
    <t>Mali müşavirlik giderleri</t>
  </si>
  <si>
    <t>Vekalet pulu ödeneği</t>
  </si>
  <si>
    <t>Bilgisayar programları, yazılım, destek hizmeti</t>
  </si>
  <si>
    <t>Fotokopi bağışı</t>
  </si>
  <si>
    <t xml:space="preserve">Servis giderleri </t>
  </si>
  <si>
    <t>Geçmiş yıllar gecikme zammı</t>
  </si>
  <si>
    <t>Kanlıca sosyal tesis giderleri</t>
  </si>
  <si>
    <t>Cari 1. dönem gecikme zammı</t>
  </si>
  <si>
    <t>Balmumcu sosyal tesis güvenlik ve emlak vergisi giderleri</t>
  </si>
  <si>
    <t>Cari 2. dönem gecikme zammı</t>
  </si>
  <si>
    <t>Güvenlik personeli hizmet giderleri</t>
  </si>
  <si>
    <t>SGK rapor iadesi</t>
  </si>
  <si>
    <t>İstanbul (Çağlayan) Adliyesi temizlik personeli gideri ve diğer giderler</t>
  </si>
  <si>
    <t>Diğer gelirler</t>
  </si>
  <si>
    <t>Anadolu (Kartal) Adliyesi temizlik personeli gideri ve diğer giderler</t>
  </si>
  <si>
    <t>İşbankası logolu kredi kartı primi</t>
  </si>
  <si>
    <t>Bakırköy Adiyesi ve diğer adliyeler temizlik personeli gideri ve diğer giderler</t>
  </si>
  <si>
    <t>Avukatlık Ortaklığı giriş keseneği</t>
  </si>
  <si>
    <t>Diğer büro giderleri ve yeni alınan bina giderleri</t>
  </si>
  <si>
    <t>Avukatlık  Ortaklığı giriş aidatı ve TBB gelirleri</t>
  </si>
  <si>
    <t>Çeşitli Giderler</t>
  </si>
  <si>
    <t>İç, dış temaslar, etkinlikler, misafir giderleri</t>
  </si>
  <si>
    <t>TBB kesenek ve ölüm yardımı gideri</t>
  </si>
  <si>
    <t>Kültür merkezi giderleri</t>
  </si>
  <si>
    <t>Aidat Gelirleri</t>
  </si>
  <si>
    <t>Adli yıl açılış ve avukatlar günü giderleri</t>
  </si>
  <si>
    <t>Geçmiş yıl avukatlık ortaklığı aidat ve TBB gelirleri</t>
  </si>
  <si>
    <t>Komisyon ve merkez giderleri</t>
  </si>
  <si>
    <t>Geçmiş yıl aidat gelirleri</t>
  </si>
  <si>
    <t>Büro giderleri(bilgi işlem hizmet gid.bilgi işlem dan gideri)</t>
  </si>
  <si>
    <t>Genel Kurul cezası tahsilatları</t>
  </si>
  <si>
    <t>Ajanda gideri</t>
  </si>
  <si>
    <t>Aidat cari yıl 1. taksit tahsilatları</t>
  </si>
  <si>
    <t>Yayın giderleri</t>
  </si>
  <si>
    <t>Aidat cari yıl 2. taksit tahsilatları</t>
  </si>
  <si>
    <t>Seyahat Giderleri (araç, hgs, benzin, bakım, onarım)</t>
  </si>
  <si>
    <t>TBB keseneği cari yıl 1. taksit tahsilatları</t>
  </si>
  <si>
    <t>Toplantı servisleri yol yemek konaklama giderleri</t>
  </si>
  <si>
    <t>TBB keseneği cari yıl 2. taksit tahsilatları</t>
  </si>
  <si>
    <t>Sigorta giderleri (araç kasko, bina, makinalar)</t>
  </si>
  <si>
    <t>Cari yıl avukatlık ortaklığı aidat ve TBB gelirleri</t>
  </si>
  <si>
    <t>Su ve içecek giderleri (Merkez bina)</t>
  </si>
  <si>
    <t>Avukatlar için plaket giderleri</t>
  </si>
  <si>
    <t>Nakliye giderleri</t>
  </si>
  <si>
    <t>DİĞER GELİRLER</t>
  </si>
  <si>
    <t>Dava, icra, noter giderleri</t>
  </si>
  <si>
    <t>SGK İndirim Geliri</t>
  </si>
  <si>
    <t>Terkin edilen stok giderleri</t>
  </si>
  <si>
    <t>Asgari Ücret Teşvik Geliri</t>
  </si>
  <si>
    <t>Toplantıve seminer giderleri</t>
  </si>
  <si>
    <t>Avukatlar günü giderleri</t>
  </si>
  <si>
    <t>FAİZ GELİRLERİ</t>
  </si>
  <si>
    <t>Karşı taraf avukatlık vekalet ücreti</t>
  </si>
  <si>
    <t>Mevduat Faizleri</t>
  </si>
  <si>
    <t>Online toplantı (Zoom vs) abonelik gideri</t>
  </si>
  <si>
    <t>Diğer giderler</t>
  </si>
  <si>
    <t>KAMBİYO KARLARI</t>
  </si>
  <si>
    <t>Ulaşım gideri</t>
  </si>
  <si>
    <t>Kur Farkları</t>
  </si>
  <si>
    <t>Üyelik aidat giderleri</t>
  </si>
  <si>
    <t>Tören, cilt vs.giderleri</t>
  </si>
  <si>
    <t>DİĞER OLAĞANDIŞI GELİR VE KARLAR</t>
  </si>
  <si>
    <t>Diğer Olağandışı Gelirler</t>
  </si>
  <si>
    <t>Vergi resim ve harçlar (emlak, çevre temizlik, damga vd)</t>
  </si>
  <si>
    <t>TBB Araç Bağışı</t>
  </si>
  <si>
    <t>İlam-İcra gelirleri</t>
  </si>
  <si>
    <t>Finansman giderleri (banka ve pos komisyonları)</t>
  </si>
  <si>
    <t>DİĞER OLAĞAN DIŞI  ZARARLARI</t>
  </si>
  <si>
    <t>İdari Para Cezaları ve kambiyo zararları</t>
  </si>
  <si>
    <t>STAJ EĞİTİM MERKEZİ GİDERLERİ</t>
  </si>
  <si>
    <t>STAJ EGİTİM MERKEZİ GELİRLERİ</t>
  </si>
  <si>
    <t>Bağışlar ve diğerleri</t>
  </si>
  <si>
    <t>Dışarıdan Sağlanan Fayda ve Hizmetler</t>
  </si>
  <si>
    <t>(Elektrik, yakıt, haberleşme, misafir  vd giderler)</t>
  </si>
  <si>
    <t>Toplantı giderleri</t>
  </si>
  <si>
    <t>Ders ücretleri</t>
  </si>
  <si>
    <t>Güvenlik hizmet giderleri</t>
  </si>
  <si>
    <t>Temizlik hizmetleri</t>
  </si>
  <si>
    <t>Bilgi işlem malzeme giderleri</t>
  </si>
  <si>
    <t>Büro giderleri</t>
  </si>
  <si>
    <t>Diğer çeşitli giderler</t>
  </si>
  <si>
    <t>Su giderleri</t>
  </si>
  <si>
    <t>Vergi Resim ve Harçlar</t>
  </si>
  <si>
    <t>Damga Vergisi</t>
  </si>
  <si>
    <t>TOPLAM BARO ve SEM GİDERLERİ</t>
  </si>
  <si>
    <t>TOPLAM BARO GELİRİ</t>
  </si>
  <si>
    <t>CMK GİDERLERİ</t>
  </si>
  <si>
    <t>CMK GELİRLERİ</t>
  </si>
  <si>
    <t>Personel giderleri</t>
  </si>
  <si>
    <t>TBB'den gelen 2024 devri</t>
  </si>
  <si>
    <t>CMK temizlik hizmeti giderleri (Bakırköy, Nurol, Kartal)</t>
  </si>
  <si>
    <t>TBB'den gelen avanslar</t>
  </si>
  <si>
    <t xml:space="preserve">Güvenlik hizmet giderleri </t>
  </si>
  <si>
    <t>Bilgisayar yazılım program destek hizmetleri</t>
  </si>
  <si>
    <t>İstanbul Barosu'ndan alınan borç</t>
  </si>
  <si>
    <t>Kira giderleri</t>
  </si>
  <si>
    <t>CMK eğitim ve toplantı giderleri</t>
  </si>
  <si>
    <t>Zabıt kağıdı giderleri</t>
  </si>
  <si>
    <t>Diğer giderler (Beyoğlu, Kartal, Çağlayan, Bakırköy büro giderleri ve diğer )</t>
  </si>
  <si>
    <t>CMK GİDERLERİ TOPLAMI</t>
  </si>
  <si>
    <t>CMK GELİRLERİ TOPLAMI</t>
  </si>
  <si>
    <t>ADLİ YARDIM GİDERLERİ</t>
  </si>
  <si>
    <t>ADLİ YARDIM GELİRLERİ</t>
  </si>
  <si>
    <t>Avukatlık ödemeleri</t>
  </si>
  <si>
    <t>Faizler</t>
  </si>
  <si>
    <t>Yasa gereği bağışlar</t>
  </si>
  <si>
    <t>Temizlik hizmetleri (merkez)</t>
  </si>
  <si>
    <t>Yasa gereği müvekkilden alınan</t>
  </si>
  <si>
    <t>Avukat ödemesinden alacaklılar</t>
  </si>
  <si>
    <t>Zabıt kağıdı gid karkı payı</t>
  </si>
  <si>
    <t>İstanbul Barosundan alınan borç</t>
  </si>
  <si>
    <t>ADLİ YARDIM GİDERLERİ TOPLAMI</t>
  </si>
  <si>
    <t>ADLİ YARDIM GELİRLERİ TOPLAMI</t>
  </si>
  <si>
    <t>DEVİR</t>
  </si>
  <si>
    <t>Diğer giderler (Beyoğlu, Kartal, Esenyurt, Gaziosmanpaşa büro giderleri dahil)</t>
  </si>
  <si>
    <t>İSTANBUL BAROSU
1 MAYIS - 31 AĞUSTOS 2026 DÖNEMİ
GELİR GİDER TABLOSU</t>
  </si>
  <si>
    <t>31.08.2026 TARİHİ İTİBARİYLE  KASA BANKA MEVCUDUMUZ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</si>
</sst>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#,##0.00_ ;\-#,##0.00\ "/>
  </numFmts>
  <fonts count="2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8"/>
      <color theme="1"/>
      <name val="Calibri (Gövde)"/>
      <charset val="162"/>
    </font>
    <font>
      <sz val="9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9" tint="0.79998168889431442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.5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(Gövde)"/>
      <charset val="162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6">
    <xf numFmtId="0" fontId="0" fillId="0" borderId="0" xfId="0"/>
    <xf numFmtId="0" fontId="0" fillId="0" borderId="1" xfId="0" applyBorder="1"/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/>
    <xf numFmtId="0" fontId="9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0" fillId="5" borderId="12" xfId="0" applyFont="1" applyFill="1" applyBorder="1"/>
    <xf numFmtId="49" fontId="11" fillId="0" borderId="4" xfId="0" applyNumberFormat="1" applyFont="1" applyBorder="1"/>
    <xf numFmtId="0" fontId="11" fillId="4" borderId="10" xfId="0" applyFont="1" applyFill="1" applyBorder="1"/>
    <xf numFmtId="0" fontId="11" fillId="6" borderId="10" xfId="0" applyFont="1" applyFill="1" applyBorder="1"/>
    <xf numFmtId="0" fontId="13" fillId="8" borderId="12" xfId="0" applyFont="1" applyFill="1" applyBorder="1"/>
    <xf numFmtId="4" fontId="13" fillId="8" borderId="13" xfId="0" applyNumberFormat="1" applyFont="1" applyFill="1" applyBorder="1"/>
    <xf numFmtId="0" fontId="11" fillId="4" borderId="14" xfId="0" applyFont="1" applyFill="1" applyBorder="1"/>
    <xf numFmtId="0" fontId="11" fillId="5" borderId="10" xfId="0" applyFont="1" applyFill="1" applyBorder="1"/>
    <xf numFmtId="49" fontId="13" fillId="7" borderId="10" xfId="0" applyNumberFormat="1" applyFont="1" applyFill="1" applyBorder="1"/>
    <xf numFmtId="49" fontId="13" fillId="8" borderId="11" xfId="0" applyNumberFormat="1" applyFont="1" applyFill="1" applyBorder="1"/>
    <xf numFmtId="0" fontId="0" fillId="5" borderId="14" xfId="0" applyFill="1" applyBorder="1"/>
    <xf numFmtId="0" fontId="0" fillId="0" borderId="5" xfId="0" applyBorder="1"/>
    <xf numFmtId="0" fontId="13" fillId="6" borderId="0" xfId="0" applyFont="1" applyFill="1"/>
    <xf numFmtId="4" fontId="13" fillId="6" borderId="14" xfId="0" applyNumberFormat="1" applyFont="1" applyFill="1" applyBorder="1"/>
    <xf numFmtId="0" fontId="0" fillId="0" borderId="13" xfId="0" applyBorder="1"/>
    <xf numFmtId="0" fontId="11" fillId="7" borderId="14" xfId="0" applyFont="1" applyFill="1" applyBorder="1"/>
    <xf numFmtId="49" fontId="3" fillId="0" borderId="4" xfId="0" applyNumberFormat="1" applyFont="1" applyBorder="1"/>
    <xf numFmtId="4" fontId="10" fillId="9" borderId="8" xfId="0" applyNumberFormat="1" applyFont="1" applyFill="1" applyBorder="1"/>
    <xf numFmtId="4" fontId="10" fillId="9" borderId="17" xfId="0" applyNumberFormat="1" applyFont="1" applyFill="1" applyBorder="1"/>
    <xf numFmtId="0" fontId="11" fillId="6" borderId="14" xfId="0" applyFont="1" applyFill="1" applyBorder="1"/>
    <xf numFmtId="4" fontId="11" fillId="4" borderId="14" xfId="0" applyNumberFormat="1" applyFont="1" applyFill="1" applyBorder="1"/>
    <xf numFmtId="4" fontId="11" fillId="0" borderId="0" xfId="0" applyNumberFormat="1" applyFont="1"/>
    <xf numFmtId="4" fontId="11" fillId="5" borderId="10" xfId="0" applyNumberFormat="1" applyFont="1" applyFill="1" applyBorder="1"/>
    <xf numFmtId="4" fontId="11" fillId="10" borderId="13" xfId="0" applyNumberFormat="1" applyFont="1" applyFill="1" applyBorder="1"/>
    <xf numFmtId="4" fontId="11" fillId="6" borderId="0" xfId="0" applyNumberFormat="1" applyFont="1" applyFill="1"/>
    <xf numFmtId="49" fontId="11" fillId="7" borderId="10" xfId="0" applyNumberFormat="1" applyFont="1" applyFill="1" applyBorder="1"/>
    <xf numFmtId="4" fontId="0" fillId="0" borderId="13" xfId="0" applyNumberFormat="1" applyBorder="1"/>
    <xf numFmtId="4" fontId="11" fillId="0" borderId="13" xfId="0" applyNumberFormat="1" applyFont="1" applyBorder="1"/>
    <xf numFmtId="4" fontId="11" fillId="6" borderId="14" xfId="0" applyNumberFormat="1" applyFont="1" applyFill="1" applyBorder="1"/>
    <xf numFmtId="0" fontId="11" fillId="6" borderId="0" xfId="0" applyFont="1" applyFill="1"/>
    <xf numFmtId="4" fontId="10" fillId="6" borderId="0" xfId="0" applyNumberFormat="1" applyFont="1" applyFill="1"/>
    <xf numFmtId="0" fontId="11" fillId="0" borderId="13" xfId="0" applyFont="1" applyBorder="1"/>
    <xf numFmtId="0" fontId="10" fillId="9" borderId="8" xfId="0" applyFont="1" applyFill="1" applyBorder="1"/>
    <xf numFmtId="4" fontId="14" fillId="0" borderId="13" xfId="0" applyNumberFormat="1" applyFont="1" applyBorder="1"/>
    <xf numFmtId="4" fontId="15" fillId="6" borderId="0" xfId="0" applyNumberFormat="1" applyFont="1" applyFill="1"/>
    <xf numFmtId="49" fontId="11" fillId="7" borderId="0" xfId="0" applyNumberFormat="1" applyFont="1" applyFill="1"/>
    <xf numFmtId="4" fontId="11" fillId="7" borderId="0" xfId="0" applyNumberFormat="1" applyFont="1" applyFill="1"/>
    <xf numFmtId="4" fontId="13" fillId="8" borderId="12" xfId="0" applyNumberFormat="1" applyFont="1" applyFill="1" applyBorder="1"/>
    <xf numFmtId="0" fontId="0" fillId="7" borderId="14" xfId="0" applyFill="1" applyBorder="1"/>
    <xf numFmtId="4" fontId="0" fillId="0" borderId="0" xfId="0" applyNumberFormat="1"/>
    <xf numFmtId="0" fontId="11" fillId="7" borderId="0" xfId="0" applyFont="1" applyFill="1"/>
    <xf numFmtId="0" fontId="11" fillId="5" borderId="18" xfId="0" applyFont="1" applyFill="1" applyBorder="1"/>
    <xf numFmtId="0" fontId="11" fillId="7" borderId="10" xfId="0" applyFont="1" applyFill="1" applyBorder="1"/>
    <xf numFmtId="0" fontId="11" fillId="7" borderId="16" xfId="0" applyFont="1" applyFill="1" applyBorder="1"/>
    <xf numFmtId="49" fontId="11" fillId="7" borderId="6" xfId="0" applyNumberFormat="1" applyFont="1" applyFill="1" applyBorder="1"/>
    <xf numFmtId="4" fontId="11" fillId="7" borderId="6" xfId="0" applyNumberFormat="1" applyFont="1" applyFill="1" applyBorder="1"/>
    <xf numFmtId="0" fontId="13" fillId="7" borderId="14" xfId="0" applyFont="1" applyFill="1" applyBorder="1"/>
    <xf numFmtId="49" fontId="11" fillId="10" borderId="13" xfId="0" applyNumberFormat="1" applyFont="1" applyFill="1" applyBorder="1"/>
    <xf numFmtId="0" fontId="11" fillId="8" borderId="12" xfId="0" applyFont="1" applyFill="1" applyBorder="1"/>
    <xf numFmtId="4" fontId="16" fillId="6" borderId="0" xfId="0" applyNumberFormat="1" applyFont="1" applyFill="1"/>
    <xf numFmtId="4" fontId="11" fillId="11" borderId="12" xfId="0" applyNumberFormat="1" applyFont="1" applyFill="1" applyBorder="1"/>
    <xf numFmtId="4" fontId="4" fillId="11" borderId="17" xfId="0" applyNumberFormat="1" applyFont="1" applyFill="1" applyBorder="1"/>
    <xf numFmtId="0" fontId="12" fillId="6" borderId="0" xfId="0" applyFont="1" applyFill="1"/>
    <xf numFmtId="4" fontId="14" fillId="6" borderId="0" xfId="0" applyNumberFormat="1" applyFont="1" applyFill="1"/>
    <xf numFmtId="4" fontId="4" fillId="6" borderId="0" xfId="0" applyNumberFormat="1" applyFont="1" applyFill="1"/>
    <xf numFmtId="4" fontId="11" fillId="7" borderId="15" xfId="0" applyNumberFormat="1" applyFont="1" applyFill="1" applyBorder="1"/>
    <xf numFmtId="4" fontId="14" fillId="11" borderId="12" xfId="0" applyNumberFormat="1" applyFont="1" applyFill="1" applyBorder="1"/>
    <xf numFmtId="0" fontId="11" fillId="5" borderId="0" xfId="0" applyFont="1" applyFill="1"/>
    <xf numFmtId="0" fontId="11" fillId="7" borderId="6" xfId="0" applyFont="1" applyFill="1" applyBorder="1"/>
    <xf numFmtId="0" fontId="0" fillId="5" borderId="0" xfId="0" applyFill="1"/>
    <xf numFmtId="0" fontId="8" fillId="6" borderId="0" xfId="0" applyFont="1" applyFill="1"/>
    <xf numFmtId="4" fontId="11" fillId="5" borderId="0" xfId="0" applyNumberFormat="1" applyFont="1" applyFill="1"/>
    <xf numFmtId="4" fontId="17" fillId="11" borderId="17" xfId="0" applyNumberFormat="1" applyFont="1" applyFill="1" applyBorder="1"/>
    <xf numFmtId="0" fontId="11" fillId="6" borderId="15" xfId="0" applyFont="1" applyFill="1" applyBorder="1"/>
    <xf numFmtId="49" fontId="8" fillId="6" borderId="6" xfId="0" applyNumberFormat="1" applyFont="1" applyFill="1" applyBorder="1"/>
    <xf numFmtId="4" fontId="11" fillId="6" borderId="6" xfId="0" applyNumberFormat="1" applyFont="1" applyFill="1" applyBorder="1"/>
    <xf numFmtId="0" fontId="11" fillId="6" borderId="16" xfId="0" applyFont="1" applyFill="1" applyBorder="1"/>
    <xf numFmtId="0" fontId="11" fillId="4" borderId="15" xfId="0" applyFont="1" applyFill="1" applyBorder="1"/>
    <xf numFmtId="0" fontId="11" fillId="4" borderId="6" xfId="0" applyFont="1" applyFill="1" applyBorder="1"/>
    <xf numFmtId="49" fontId="8" fillId="4" borderId="6" xfId="0" applyNumberFormat="1" applyFont="1" applyFill="1" applyBorder="1"/>
    <xf numFmtId="4" fontId="11" fillId="4" borderId="6" xfId="0" applyNumberFormat="1" applyFont="1" applyFill="1" applyBorder="1"/>
    <xf numFmtId="4" fontId="11" fillId="4" borderId="16" xfId="0" applyNumberFormat="1" applyFont="1" applyFill="1" applyBorder="1"/>
    <xf numFmtId="0" fontId="11" fillId="5" borderId="15" xfId="0" applyFont="1" applyFill="1" applyBorder="1"/>
    <xf numFmtId="0" fontId="11" fillId="5" borderId="6" xfId="0" applyFont="1" applyFill="1" applyBorder="1"/>
    <xf numFmtId="0" fontId="0" fillId="5" borderId="16" xfId="0" applyFill="1" applyBorder="1"/>
    <xf numFmtId="49" fontId="8" fillId="0" borderId="0" xfId="0" applyNumberFormat="1" applyFont="1"/>
    <xf numFmtId="4" fontId="11" fillId="5" borderId="6" xfId="0" applyNumberFormat="1" applyFont="1" applyFill="1" applyBorder="1"/>
    <xf numFmtId="0" fontId="11" fillId="0" borderId="0" xfId="0" applyFont="1"/>
    <xf numFmtId="0" fontId="11" fillId="4" borderId="7" xfId="0" applyFont="1" applyFill="1" applyBorder="1"/>
    <xf numFmtId="0" fontId="11" fillId="4" borderId="8" xfId="0" applyFont="1" applyFill="1" applyBorder="1"/>
    <xf numFmtId="49" fontId="8" fillId="4" borderId="8" xfId="0" applyNumberFormat="1" applyFont="1" applyFill="1" applyBorder="1"/>
    <xf numFmtId="4" fontId="11" fillId="4" borderId="8" xfId="0" applyNumberFormat="1" applyFont="1" applyFill="1" applyBorder="1"/>
    <xf numFmtId="4" fontId="11" fillId="4" borderId="9" xfId="0" applyNumberFormat="1" applyFont="1" applyFill="1" applyBorder="1"/>
    <xf numFmtId="4" fontId="11" fillId="5" borderId="7" xfId="0" applyNumberFormat="1" applyFont="1" applyFill="1" applyBorder="1"/>
    <xf numFmtId="4" fontId="11" fillId="5" borderId="8" xfId="0" applyNumberFormat="1" applyFont="1" applyFill="1" applyBorder="1"/>
    <xf numFmtId="0" fontId="11" fillId="5" borderId="8" xfId="0" applyFont="1" applyFill="1" applyBorder="1"/>
    <xf numFmtId="0" fontId="0" fillId="5" borderId="9" xfId="0" applyFill="1" applyBorder="1"/>
    <xf numFmtId="0" fontId="11" fillId="6" borderId="7" xfId="0" applyFont="1" applyFill="1" applyBorder="1"/>
    <xf numFmtId="49" fontId="8" fillId="6" borderId="8" xfId="0" applyNumberFormat="1" applyFont="1" applyFill="1" applyBorder="1"/>
    <xf numFmtId="4" fontId="11" fillId="6" borderId="8" xfId="0" applyNumberFormat="1" applyFont="1" applyFill="1" applyBorder="1"/>
    <xf numFmtId="4" fontId="11" fillId="6" borderId="9" xfId="0" applyNumberFormat="1" applyFont="1" applyFill="1" applyBorder="1"/>
    <xf numFmtId="4" fontId="11" fillId="7" borderId="7" xfId="0" applyNumberFormat="1" applyFont="1" applyFill="1" applyBorder="1"/>
    <xf numFmtId="0" fontId="11" fillId="7" borderId="8" xfId="0" applyFont="1" applyFill="1" applyBorder="1"/>
    <xf numFmtId="0" fontId="11" fillId="7" borderId="9" xfId="0" applyFont="1" applyFill="1" applyBorder="1"/>
    <xf numFmtId="4" fontId="11" fillId="8" borderId="12" xfId="0" applyNumberFormat="1" applyFont="1" applyFill="1" applyBorder="1"/>
    <xf numFmtId="4" fontId="11" fillId="7" borderId="10" xfId="0" applyNumberFormat="1" applyFont="1" applyFill="1" applyBorder="1"/>
    <xf numFmtId="0" fontId="11" fillId="11" borderId="12" xfId="0" applyFont="1" applyFill="1" applyBorder="1"/>
    <xf numFmtId="0" fontId="11" fillId="11" borderId="0" xfId="0" applyFont="1" applyFill="1"/>
    <xf numFmtId="4" fontId="4" fillId="11" borderId="16" xfId="0" applyNumberFormat="1" applyFont="1" applyFill="1" applyBorder="1"/>
    <xf numFmtId="4" fontId="0" fillId="7" borderId="6" xfId="0" applyNumberFormat="1" applyFill="1" applyBorder="1"/>
    <xf numFmtId="4" fontId="11" fillId="6" borderId="7" xfId="0" applyNumberFormat="1" applyFont="1" applyFill="1" applyBorder="1"/>
    <xf numFmtId="49" fontId="11" fillId="5" borderId="0" xfId="0" applyNumberFormat="1" applyFont="1" applyFill="1"/>
    <xf numFmtId="4" fontId="0" fillId="5" borderId="0" xfId="0" applyNumberFormat="1" applyFill="1"/>
    <xf numFmtId="4" fontId="13" fillId="11" borderId="17" xfId="0" applyNumberFormat="1" applyFont="1" applyFill="1" applyBorder="1"/>
    <xf numFmtId="4" fontId="0" fillId="11" borderId="17" xfId="0" applyNumberFormat="1" applyFill="1" applyBorder="1"/>
    <xf numFmtId="0" fontId="8" fillId="6" borderId="6" xfId="0" applyFont="1" applyFill="1" applyBorder="1"/>
    <xf numFmtId="0" fontId="11" fillId="6" borderId="6" xfId="0" applyFont="1" applyFill="1" applyBorder="1"/>
    <xf numFmtId="0" fontId="8" fillId="4" borderId="6" xfId="0" applyFont="1" applyFill="1" applyBorder="1"/>
    <xf numFmtId="4" fontId="11" fillId="5" borderId="15" xfId="0" applyNumberFormat="1" applyFont="1" applyFill="1" applyBorder="1"/>
    <xf numFmtId="0" fontId="6" fillId="0" borderId="0" xfId="0" applyFont="1"/>
    <xf numFmtId="0" fontId="8" fillId="4" borderId="8" xfId="0" applyFont="1" applyFill="1" applyBorder="1"/>
    <xf numFmtId="0" fontId="11" fillId="12" borderId="11" xfId="0" applyFont="1" applyFill="1" applyBorder="1"/>
    <xf numFmtId="49" fontId="18" fillId="12" borderId="12" xfId="0" applyNumberFormat="1" applyFont="1" applyFill="1" applyBorder="1"/>
    <xf numFmtId="0" fontId="5" fillId="12" borderId="12" xfId="0" applyFont="1" applyFill="1" applyBorder="1"/>
    <xf numFmtId="4" fontId="2" fillId="12" borderId="12" xfId="0" applyNumberFormat="1" applyFont="1" applyFill="1" applyBorder="1"/>
    <xf numFmtId="4" fontId="2" fillId="12" borderId="17" xfId="0" applyNumberFormat="1" applyFont="1" applyFill="1" applyBorder="1"/>
    <xf numFmtId="4" fontId="5" fillId="12" borderId="11" xfId="0" applyNumberFormat="1" applyFont="1" applyFill="1" applyBorder="1"/>
    <xf numFmtId="49" fontId="2" fillId="12" borderId="12" xfId="0" applyNumberFormat="1" applyFont="1" applyFill="1" applyBorder="1"/>
    <xf numFmtId="0" fontId="12" fillId="4" borderId="6" xfId="0" applyFont="1" applyFill="1" applyBorder="1"/>
    <xf numFmtId="4" fontId="13" fillId="4" borderId="6" xfId="0" applyNumberFormat="1" applyFont="1" applyFill="1" applyBorder="1"/>
    <xf numFmtId="0" fontId="13" fillId="4" borderId="6" xfId="0" applyFont="1" applyFill="1" applyBorder="1"/>
    <xf numFmtId="0" fontId="12" fillId="0" borderId="0" xfId="0" applyFont="1"/>
    <xf numFmtId="4" fontId="13" fillId="0" borderId="0" xfId="0" applyNumberFormat="1" applyFont="1"/>
    <xf numFmtId="0" fontId="13" fillId="0" borderId="0" xfId="0" applyFont="1"/>
    <xf numFmtId="0" fontId="13" fillId="4" borderId="9" xfId="0" applyFont="1" applyFill="1" applyBorder="1"/>
    <xf numFmtId="0" fontId="13" fillId="5" borderId="7" xfId="0" applyFont="1" applyFill="1" applyBorder="1"/>
    <xf numFmtId="0" fontId="8" fillId="6" borderId="8" xfId="0" applyFont="1" applyFill="1" applyBorder="1"/>
    <xf numFmtId="0" fontId="11" fillId="6" borderId="9" xfId="0" applyFont="1" applyFill="1" applyBorder="1"/>
    <xf numFmtId="4" fontId="13" fillId="8" borderId="11" xfId="0" applyNumberFormat="1" applyFont="1" applyFill="1" applyBorder="1"/>
    <xf numFmtId="4" fontId="13" fillId="6" borderId="0" xfId="0" applyNumberFormat="1" applyFont="1" applyFill="1"/>
    <xf numFmtId="4" fontId="13" fillId="7" borderId="0" xfId="0" applyNumberFormat="1" applyFont="1" applyFill="1"/>
    <xf numFmtId="0" fontId="0" fillId="0" borderId="20" xfId="0" applyBorder="1"/>
    <xf numFmtId="4" fontId="0" fillId="0" borderId="20" xfId="0" applyNumberFormat="1" applyBorder="1"/>
    <xf numFmtId="0" fontId="0" fillId="7" borderId="8" xfId="0" applyFill="1" applyBorder="1"/>
    <xf numFmtId="4" fontId="0" fillId="7" borderId="8" xfId="0" applyNumberFormat="1" applyFill="1" applyBorder="1"/>
    <xf numFmtId="0" fontId="11" fillId="7" borderId="15" xfId="0" applyFont="1" applyFill="1" applyBorder="1"/>
    <xf numFmtId="0" fontId="4" fillId="0" borderId="4" xfId="0" applyFont="1" applyBorder="1"/>
    <xf numFmtId="0" fontId="11" fillId="12" borderId="15" xfId="0" applyFont="1" applyFill="1" applyBorder="1"/>
    <xf numFmtId="0" fontId="13" fillId="4" borderId="14" xfId="0" applyFont="1" applyFill="1" applyBorder="1"/>
    <xf numFmtId="0" fontId="13" fillId="5" borderId="10" xfId="0" applyFont="1" applyFill="1" applyBorder="1"/>
    <xf numFmtId="0" fontId="2" fillId="12" borderId="11" xfId="0" applyFont="1" applyFill="1" applyBorder="1"/>
    <xf numFmtId="0" fontId="2" fillId="12" borderId="12" xfId="0" applyFont="1" applyFill="1" applyBorder="1"/>
    <xf numFmtId="0" fontId="11" fillId="4" borderId="0" xfId="0" applyFont="1" applyFill="1"/>
    <xf numFmtId="0" fontId="11" fillId="0" borderId="4" xfId="0" applyFont="1" applyBorder="1"/>
    <xf numFmtId="0" fontId="11" fillId="4" borderId="16" xfId="0" applyFont="1" applyFill="1" applyBorder="1"/>
    <xf numFmtId="0" fontId="11" fillId="4" borderId="9" xfId="0" applyFont="1" applyFill="1" applyBorder="1"/>
    <xf numFmtId="0" fontId="11" fillId="5" borderId="7" xfId="0" applyFont="1" applyFill="1" applyBorder="1"/>
    <xf numFmtId="0" fontId="11" fillId="7" borderId="7" xfId="0" applyFont="1" applyFill="1" applyBorder="1"/>
    <xf numFmtId="4" fontId="13" fillId="8" borderId="17" xfId="0" applyNumberFormat="1" applyFont="1" applyFill="1" applyBorder="1"/>
    <xf numFmtId="0" fontId="10" fillId="8" borderId="11" xfId="0" applyFont="1" applyFill="1" applyBorder="1"/>
    <xf numFmtId="0" fontId="10" fillId="8" borderId="12" xfId="0" applyFont="1" applyFill="1" applyBorder="1"/>
    <xf numFmtId="164" fontId="11" fillId="7" borderId="14" xfId="1" applyFont="1" applyFill="1" applyBorder="1"/>
    <xf numFmtId="0" fontId="11" fillId="6" borderId="18" xfId="0" applyFont="1" applyFill="1" applyBorder="1"/>
    <xf numFmtId="4" fontId="0" fillId="0" borderId="11" xfId="0" applyNumberFormat="1" applyBorder="1"/>
    <xf numFmtId="4" fontId="11" fillId="6" borderId="10" xfId="0" applyNumberFormat="1" applyFont="1" applyFill="1" applyBorder="1"/>
    <xf numFmtId="0" fontId="11" fillId="7" borderId="18" xfId="0" applyFont="1" applyFill="1" applyBorder="1"/>
    <xf numFmtId="4" fontId="11" fillId="10" borderId="17" xfId="0" applyNumberFormat="1" applyFont="1" applyFill="1" applyBorder="1"/>
    <xf numFmtId="4" fontId="11" fillId="10" borderId="11" xfId="0" applyNumberFormat="1" applyFont="1" applyFill="1" applyBorder="1"/>
    <xf numFmtId="164" fontId="11" fillId="7" borderId="18" xfId="1" applyFont="1" applyFill="1" applyBorder="1"/>
    <xf numFmtId="4" fontId="0" fillId="0" borderId="7" xfId="0" applyNumberFormat="1" applyBorder="1"/>
    <xf numFmtId="164" fontId="11" fillId="7" borderId="16" xfId="1" applyFont="1" applyFill="1" applyBorder="1"/>
    <xf numFmtId="4" fontId="0" fillId="6" borderId="8" xfId="0" applyNumberFormat="1" applyFill="1" applyBorder="1"/>
    <xf numFmtId="164" fontId="11" fillId="5" borderId="0" xfId="1" applyFont="1" applyFill="1" applyBorder="1"/>
    <xf numFmtId="0" fontId="5" fillId="12" borderId="11" xfId="0" applyFont="1" applyFill="1" applyBorder="1"/>
    <xf numFmtId="4" fontId="13" fillId="4" borderId="14" xfId="0" applyNumberFormat="1" applyFont="1" applyFill="1" applyBorder="1"/>
    <xf numFmtId="4" fontId="13" fillId="5" borderId="10" xfId="0" applyNumberFormat="1" applyFont="1" applyFill="1" applyBorder="1"/>
    <xf numFmtId="0" fontId="2" fillId="13" borderId="13" xfId="0" applyFont="1" applyFill="1" applyBorder="1"/>
    <xf numFmtId="0" fontId="12" fillId="4" borderId="0" xfId="0" applyFont="1" applyFill="1"/>
    <xf numFmtId="4" fontId="11" fillId="4" borderId="0" xfId="0" applyNumberFormat="1" applyFont="1" applyFill="1"/>
    <xf numFmtId="0" fontId="0" fillId="0" borderId="21" xfId="0" applyBorder="1"/>
    <xf numFmtId="0" fontId="11" fillId="0" borderId="22" xfId="0" applyFont="1" applyBorder="1"/>
    <xf numFmtId="0" fontId="8" fillId="0" borderId="22" xfId="0" applyFont="1" applyBorder="1"/>
    <xf numFmtId="4" fontId="11" fillId="0" borderId="22" xfId="0" applyNumberFormat="1" applyFont="1" applyBorder="1"/>
    <xf numFmtId="164" fontId="11" fillId="0" borderId="22" xfId="0" applyNumberFormat="1" applyFont="1" applyBorder="1"/>
    <xf numFmtId="0" fontId="0" fillId="0" borderId="22" xfId="0" applyBorder="1"/>
    <xf numFmtId="0" fontId="0" fillId="0" borderId="23" xfId="0" applyBorder="1"/>
    <xf numFmtId="164" fontId="11" fillId="0" borderId="0" xfId="0" applyNumberFormat="1" applyFont="1"/>
    <xf numFmtId="4" fontId="8" fillId="0" borderId="0" xfId="0" applyNumberFormat="1" applyFont="1"/>
    <xf numFmtId="165" fontId="11" fillId="0" borderId="0" xfId="1" applyNumberFormat="1" applyFont="1" applyFill="1"/>
    <xf numFmtId="49" fontId="13" fillId="8" borderId="15" xfId="0" applyNumberFormat="1" applyFont="1" applyFill="1" applyBorder="1"/>
    <xf numFmtId="0" fontId="11" fillId="7" borderId="12" xfId="0" applyFont="1" applyFill="1" applyBorder="1"/>
    <xf numFmtId="0" fontId="11" fillId="8" borderId="6" xfId="0" applyFont="1" applyFill="1" applyBorder="1"/>
    <xf numFmtId="4" fontId="11" fillId="7" borderId="12" xfId="0" applyNumberFormat="1" applyFont="1" applyFill="1" applyBorder="1"/>
    <xf numFmtId="4" fontId="2" fillId="13" borderId="13" xfId="0" applyNumberFormat="1" applyFont="1" applyFill="1" applyBorder="1"/>
    <xf numFmtId="0" fontId="19" fillId="8" borderId="11" xfId="0" applyFont="1" applyFill="1" applyBorder="1"/>
    <xf numFmtId="49" fontId="11" fillId="0" borderId="13" xfId="0" applyNumberFormat="1" applyFont="1" applyBorder="1"/>
    <xf numFmtId="49" fontId="20" fillId="0" borderId="13" xfId="0" applyNumberFormat="1" applyFont="1" applyBorder="1"/>
    <xf numFmtId="4" fontId="20" fillId="0" borderId="13" xfId="0" applyNumberFormat="1" applyFont="1" applyBorder="1"/>
    <xf numFmtId="49" fontId="20" fillId="0" borderId="17" xfId="0" applyNumberFormat="1" applyFont="1" applyBorder="1"/>
    <xf numFmtId="0" fontId="20" fillId="0" borderId="9" xfId="0" applyFont="1" applyBorder="1"/>
    <xf numFmtId="0" fontId="13" fillId="8" borderId="11" xfId="0" applyFont="1" applyFill="1" applyBorder="1"/>
    <xf numFmtId="49" fontId="21" fillId="8" borderId="11" xfId="0" applyNumberFormat="1" applyFont="1" applyFill="1" applyBorder="1"/>
    <xf numFmtId="49" fontId="21" fillId="6" borderId="0" xfId="0" applyNumberFormat="1" applyFont="1" applyFill="1"/>
    <xf numFmtId="49" fontId="21" fillId="11" borderId="11" xfId="0" applyNumberFormat="1" applyFont="1" applyFill="1" applyBorder="1"/>
    <xf numFmtId="49" fontId="21" fillId="11" borderId="7" xfId="0" applyNumberFormat="1" applyFont="1" applyFill="1" applyBorder="1"/>
    <xf numFmtId="49" fontId="21" fillId="11" borderId="15" xfId="0" applyNumberFormat="1" applyFont="1" applyFill="1" applyBorder="1"/>
    <xf numFmtId="49" fontId="10" fillId="11" borderId="11" xfId="0" applyNumberFormat="1" applyFont="1" applyFill="1" applyBorder="1"/>
    <xf numFmtId="0" fontId="22" fillId="0" borderId="13" xfId="0" applyFont="1" applyBorder="1"/>
    <xf numFmtId="0" fontId="21" fillId="0" borderId="13" xfId="0" applyFont="1" applyBorder="1"/>
    <xf numFmtId="49" fontId="21" fillId="10" borderId="13" xfId="0" applyNumberFormat="1" applyFont="1" applyFill="1" applyBorder="1"/>
    <xf numFmtId="0" fontId="23" fillId="2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center" wrapText="1"/>
    </xf>
    <xf numFmtId="4" fontId="10" fillId="3" borderId="13" xfId="0" applyNumberFormat="1" applyFont="1" applyFill="1" applyBorder="1" applyAlignment="1">
      <alignment vertical="center"/>
    </xf>
    <xf numFmtId="0" fontId="23" fillId="2" borderId="0" xfId="0" applyFont="1" applyFill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49" fontId="13" fillId="6" borderId="0" xfId="0" applyNumberFormat="1" applyFont="1" applyFill="1"/>
    <xf numFmtId="49" fontId="10" fillId="9" borderId="7" xfId="0" applyNumberFormat="1" applyFont="1" applyFill="1" applyBorder="1"/>
    <xf numFmtId="49" fontId="11" fillId="6" borderId="0" xfId="0" applyNumberFormat="1" applyFont="1" applyFill="1"/>
    <xf numFmtId="0" fontId="0" fillId="7" borderId="0" xfId="0" applyFill="1"/>
    <xf numFmtId="0" fontId="0" fillId="5" borderId="18" xfId="0" applyFill="1" applyBorder="1"/>
    <xf numFmtId="0" fontId="0" fillId="0" borderId="18" xfId="0" applyBorder="1"/>
    <xf numFmtId="0" fontId="4" fillId="11" borderId="11" xfId="0" applyFont="1" applyFill="1" applyBorder="1"/>
    <xf numFmtId="0" fontId="0" fillId="7" borderId="18" xfId="0" applyFill="1" applyBorder="1"/>
    <xf numFmtId="0" fontId="13" fillId="11" borderId="11" xfId="0" applyFont="1" applyFill="1" applyBorder="1"/>
    <xf numFmtId="4" fontId="0" fillId="6" borderId="14" xfId="0" applyNumberFormat="1" applyFill="1" applyBorder="1"/>
    <xf numFmtId="0" fontId="0" fillId="0" borderId="19" xfId="0" applyBorder="1"/>
    <xf numFmtId="4" fontId="0" fillId="0" borderId="19" xfId="0" applyNumberFormat="1" applyBorder="1"/>
    <xf numFmtId="0" fontId="7" fillId="0" borderId="6" xfId="0" applyFont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1FC2-8E9B-4D1D-9A3A-0065CB0475BA}">
  <sheetPr>
    <pageSetUpPr fitToPage="1"/>
  </sheetPr>
  <dimension ref="A1:S315"/>
  <sheetViews>
    <sheetView tabSelected="1" topLeftCell="A38" zoomScale="110" zoomScaleNormal="110" workbookViewId="0">
      <selection activeCell="A95" sqref="A95:XFD95"/>
    </sheetView>
  </sheetViews>
  <sheetFormatPr baseColWidth="10" defaultColWidth="11.5" defaultRowHeight="15" x14ac:dyDescent="0.2"/>
  <cols>
    <col min="1" max="1" width="2.83203125" customWidth="1"/>
    <col min="2" max="2" width="1.83203125" customWidth="1"/>
    <col min="3" max="3" width="2.33203125" customWidth="1"/>
    <col min="4" max="4" width="59.5" style="124" customWidth="1"/>
    <col min="5" max="5" width="15.1640625" bestFit="1" customWidth="1"/>
    <col min="6" max="6" width="16" customWidth="1"/>
    <col min="7" max="7" width="16.6640625" customWidth="1"/>
    <col min="8" max="8" width="1.5" customWidth="1"/>
    <col min="9" max="9" width="2.6640625" customWidth="1"/>
    <col min="10" max="10" width="2.1640625" customWidth="1"/>
    <col min="11" max="11" width="2.33203125" customWidth="1"/>
    <col min="12" max="12" width="43.1640625" customWidth="1"/>
    <col min="13" max="13" width="21.6640625" customWidth="1"/>
    <col min="14" max="14" width="16.1640625" customWidth="1"/>
    <col min="15" max="15" width="2.1640625" customWidth="1"/>
    <col min="16" max="16" width="3.5" customWidth="1"/>
    <col min="18" max="18" width="15.5" style="54" customWidth="1"/>
    <col min="19" max="19" width="14.1640625" bestFit="1" customWidth="1"/>
  </cols>
  <sheetData>
    <row r="1" spans="1:16" x14ac:dyDescent="0.2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</row>
    <row r="2" spans="1:16" x14ac:dyDescent="0.2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8"/>
    </row>
    <row r="3" spans="1:16" ht="75" customHeight="1" x14ac:dyDescent="0.2">
      <c r="A3" s="5"/>
      <c r="B3" s="254" t="s">
        <v>141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9"/>
    </row>
    <row r="4" spans="1:16" ht="24" x14ac:dyDescent="0.2">
      <c r="A4" s="5"/>
      <c r="B4" s="10"/>
      <c r="C4" s="11"/>
      <c r="D4" s="12"/>
      <c r="E4" s="13"/>
      <c r="F4" s="13"/>
      <c r="G4" s="13"/>
      <c r="H4" s="11"/>
      <c r="I4" s="11"/>
      <c r="J4" s="11"/>
      <c r="K4" s="11"/>
      <c r="L4" s="11"/>
      <c r="M4" s="11"/>
      <c r="N4" s="11"/>
      <c r="O4" s="14"/>
      <c r="P4" s="9"/>
    </row>
    <row r="5" spans="1:16" ht="33" customHeight="1" x14ac:dyDescent="0.2">
      <c r="A5" s="5"/>
      <c r="B5" s="215"/>
      <c r="C5" s="216"/>
      <c r="D5" s="255" t="s">
        <v>142</v>
      </c>
      <c r="E5" s="255"/>
      <c r="F5" s="217"/>
      <c r="G5" s="218" t="s">
        <v>0</v>
      </c>
      <c r="H5" s="219"/>
      <c r="I5" s="219"/>
      <c r="J5" s="219"/>
      <c r="K5" s="219"/>
      <c r="L5" s="219"/>
      <c r="M5" s="219"/>
      <c r="N5" s="219"/>
      <c r="O5" s="220"/>
      <c r="P5" s="9"/>
    </row>
    <row r="6" spans="1:16" ht="24" x14ac:dyDescent="0.2">
      <c r="A6" s="5"/>
      <c r="B6" s="221"/>
      <c r="C6" s="222"/>
      <c r="D6" s="223"/>
      <c r="E6" s="223"/>
      <c r="F6" s="223"/>
      <c r="G6" s="223"/>
      <c r="H6" s="222"/>
      <c r="I6" s="222"/>
      <c r="J6" s="222"/>
      <c r="K6" s="222"/>
      <c r="L6" s="222"/>
      <c r="M6" s="222"/>
      <c r="N6" s="222"/>
      <c r="O6" s="224"/>
      <c r="P6" s="9"/>
    </row>
    <row r="7" spans="1:16" ht="24" x14ac:dyDescent="0.2">
      <c r="A7" s="5"/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9"/>
    </row>
    <row r="8" spans="1:16" ht="24" x14ac:dyDescent="0.2">
      <c r="A8" s="5"/>
      <c r="B8" s="226"/>
      <c r="C8" s="227"/>
      <c r="D8" s="227"/>
      <c r="E8" s="227"/>
      <c r="F8" s="227"/>
      <c r="G8" s="227"/>
      <c r="H8" s="228"/>
      <c r="I8" s="225"/>
      <c r="J8" s="229"/>
      <c r="K8" s="230"/>
      <c r="L8" s="15" t="s">
        <v>1</v>
      </c>
      <c r="M8" s="230"/>
      <c r="N8" s="230"/>
      <c r="O8" s="231"/>
      <c r="P8" s="9"/>
    </row>
    <row r="9" spans="1:16" ht="24" x14ac:dyDescent="0.2">
      <c r="A9" s="5"/>
      <c r="B9" s="232"/>
      <c r="C9" s="233"/>
      <c r="D9" s="234"/>
      <c r="E9" s="234"/>
      <c r="F9" s="234"/>
      <c r="G9" s="235"/>
      <c r="H9" s="236"/>
      <c r="I9" s="225"/>
      <c r="J9" s="237"/>
      <c r="K9" s="238"/>
      <c r="L9" s="239"/>
      <c r="M9" s="239"/>
      <c r="N9" s="240"/>
      <c r="O9" s="241"/>
      <c r="P9" s="9"/>
    </row>
    <row r="10" spans="1:16" x14ac:dyDescent="0.2">
      <c r="A10" s="16"/>
      <c r="B10" s="17"/>
      <c r="C10" s="18"/>
      <c r="D10" s="24" t="s">
        <v>2</v>
      </c>
      <c r="E10" s="19"/>
      <c r="F10" s="19"/>
      <c r="G10" s="20">
        <f>SUM(F10:F66)</f>
        <v>136947152.44</v>
      </c>
      <c r="H10" s="21"/>
      <c r="J10" s="22"/>
      <c r="K10" s="23"/>
      <c r="L10" s="24" t="s">
        <v>3</v>
      </c>
      <c r="M10" s="19"/>
      <c r="N10" s="20">
        <f>SUM(M10:M32)</f>
        <v>16008026.629999999</v>
      </c>
      <c r="O10" s="25"/>
      <c r="P10" s="26"/>
    </row>
    <row r="11" spans="1:16" x14ac:dyDescent="0.2">
      <c r="A11" s="16"/>
      <c r="B11" s="17"/>
      <c r="C11" s="18"/>
      <c r="D11" s="242"/>
      <c r="E11" s="27"/>
      <c r="F11" s="27"/>
      <c r="G11" s="28"/>
      <c r="H11" s="21"/>
      <c r="J11" s="22"/>
      <c r="K11" s="23"/>
      <c r="L11" s="29" t="s">
        <v>4</v>
      </c>
      <c r="M11" s="42">
        <f>9000-7500</f>
        <v>1500</v>
      </c>
      <c r="N11" s="30"/>
      <c r="O11" s="25"/>
      <c r="P11" s="26"/>
    </row>
    <row r="12" spans="1:16" x14ac:dyDescent="0.2">
      <c r="A12" s="31"/>
      <c r="B12" s="17"/>
      <c r="C12" s="18"/>
      <c r="D12" s="243" t="s">
        <v>5</v>
      </c>
      <c r="E12" s="32"/>
      <c r="F12" s="33">
        <f>SUM(E13:E17)</f>
        <v>92652767.25</v>
      </c>
      <c r="G12" s="34"/>
      <c r="H12" s="35"/>
      <c r="I12" s="36"/>
      <c r="J12" s="37"/>
      <c r="K12" s="23"/>
      <c r="L12" s="29" t="s">
        <v>6</v>
      </c>
      <c r="M12" s="42">
        <f>4231241.88-2073593.88</f>
        <v>2157648</v>
      </c>
      <c r="N12" s="30"/>
      <c r="O12" s="25"/>
      <c r="P12" s="26"/>
    </row>
    <row r="13" spans="1:16" x14ac:dyDescent="0.2">
      <c r="A13" s="16"/>
      <c r="B13" s="17"/>
      <c r="C13" s="18"/>
      <c r="D13" s="62" t="s">
        <v>7</v>
      </c>
      <c r="E13" s="38">
        <f>92196054.66-44450392.22</f>
        <v>47745662.439999998</v>
      </c>
      <c r="F13" s="39"/>
      <c r="G13" s="34"/>
      <c r="H13" s="21"/>
      <c r="J13" s="22"/>
      <c r="K13" s="40"/>
      <c r="L13" s="29" t="s">
        <v>8</v>
      </c>
      <c r="M13" s="42">
        <f>1306277.83-728429.88</f>
        <v>577847.95000000007</v>
      </c>
      <c r="N13" s="30"/>
      <c r="O13" s="25"/>
      <c r="P13" s="26"/>
    </row>
    <row r="14" spans="1:16" x14ac:dyDescent="0.2">
      <c r="A14" s="16"/>
      <c r="B14" s="17"/>
      <c r="C14" s="18"/>
      <c r="D14" s="62" t="s">
        <v>9</v>
      </c>
      <c r="E14" s="38">
        <f>27598620.55-12878815.88</f>
        <v>14719804.67</v>
      </c>
      <c r="F14" s="39"/>
      <c r="G14" s="34"/>
      <c r="H14" s="21"/>
      <c r="J14" s="22"/>
      <c r="K14" s="40"/>
      <c r="L14" s="29" t="s">
        <v>10</v>
      </c>
      <c r="M14" s="42">
        <f>585678-304398</f>
        <v>281280</v>
      </c>
      <c r="N14" s="30"/>
      <c r="O14" s="25"/>
      <c r="P14" s="26"/>
    </row>
    <row r="15" spans="1:16" x14ac:dyDescent="0.2">
      <c r="A15" s="16"/>
      <c r="B15" s="17"/>
      <c r="C15" s="18"/>
      <c r="D15" s="62" t="s">
        <v>11</v>
      </c>
      <c r="E15" s="41">
        <f>6247709.5-938315.48</f>
        <v>5309394.0199999996</v>
      </c>
      <c r="F15" s="39"/>
      <c r="G15" s="34"/>
      <c r="H15" s="21"/>
      <c r="J15" s="22"/>
      <c r="K15" s="40"/>
      <c r="L15" s="29" t="s">
        <v>12</v>
      </c>
      <c r="M15" s="42">
        <f>89180-37000</f>
        <v>52180</v>
      </c>
      <c r="N15" s="30"/>
      <c r="O15" s="25"/>
      <c r="P15" s="26"/>
    </row>
    <row r="16" spans="1:16" x14ac:dyDescent="0.2">
      <c r="A16" s="16"/>
      <c r="B16" s="17"/>
      <c r="C16" s="18"/>
      <c r="D16" s="62" t="s">
        <v>13</v>
      </c>
      <c r="E16" s="41">
        <f>29984998.53-14361592.49</f>
        <v>15623406.040000001</v>
      </c>
      <c r="F16" s="39"/>
      <c r="G16" s="34"/>
      <c r="H16" s="21"/>
      <c r="J16" s="22"/>
      <c r="K16" s="40"/>
      <c r="L16" s="29" t="s">
        <v>14</v>
      </c>
      <c r="M16" s="42">
        <f>137167.07-24099.57</f>
        <v>113067.5</v>
      </c>
      <c r="N16" s="30"/>
      <c r="O16" s="25"/>
      <c r="P16" s="26"/>
    </row>
    <row r="17" spans="1:16" x14ac:dyDescent="0.2">
      <c r="A17" s="16"/>
      <c r="B17" s="17"/>
      <c r="C17" s="18"/>
      <c r="D17" s="62" t="s">
        <v>15</v>
      </c>
      <c r="E17" s="41">
        <f>16032164.23-6777664.15</f>
        <v>9254500.0800000001</v>
      </c>
      <c r="F17" s="39"/>
      <c r="G17" s="34"/>
      <c r="H17" s="21"/>
      <c r="J17" s="22"/>
      <c r="K17" s="40"/>
      <c r="L17" s="29" t="s">
        <v>16</v>
      </c>
      <c r="M17" s="42">
        <f>2112046.8-908680.8</f>
        <v>1203365.9999999998</v>
      </c>
      <c r="N17" s="30"/>
      <c r="O17" s="25"/>
      <c r="P17" s="26"/>
    </row>
    <row r="18" spans="1:16" x14ac:dyDescent="0.2">
      <c r="A18" s="16"/>
      <c r="B18" s="17"/>
      <c r="C18" s="18"/>
      <c r="D18" s="244"/>
      <c r="E18" s="39"/>
      <c r="F18" s="39"/>
      <c r="G18" s="34"/>
      <c r="H18" s="21"/>
      <c r="J18" s="22"/>
      <c r="K18" s="40"/>
      <c r="L18" s="29" t="s">
        <v>17</v>
      </c>
      <c r="M18" s="42">
        <v>4493037.57</v>
      </c>
      <c r="N18" s="30"/>
      <c r="O18" s="25"/>
      <c r="P18" s="26"/>
    </row>
    <row r="19" spans="1:16" x14ac:dyDescent="0.2">
      <c r="A19" s="16"/>
      <c r="B19" s="17"/>
      <c r="C19" s="18"/>
      <c r="D19" s="243" t="s">
        <v>18</v>
      </c>
      <c r="E19" s="32"/>
      <c r="F19" s="33">
        <f>SUM(E20:E32)</f>
        <v>26971145.079999998</v>
      </c>
      <c r="G19" s="34"/>
      <c r="H19" s="21"/>
      <c r="J19" s="22"/>
      <c r="K19" s="40"/>
      <c r="L19" s="29" t="s">
        <v>19</v>
      </c>
      <c r="M19" s="42">
        <f>591373.12-254430.64</f>
        <v>336942.48</v>
      </c>
      <c r="N19" s="30"/>
      <c r="O19" s="25"/>
      <c r="P19" s="26"/>
    </row>
    <row r="20" spans="1:16" x14ac:dyDescent="0.2">
      <c r="A20" s="16"/>
      <c r="B20" s="17"/>
      <c r="C20" s="18"/>
      <c r="D20" s="29" t="s">
        <v>20</v>
      </c>
      <c r="E20" s="42">
        <f>2133105.61-1080948.3</f>
        <v>1052157.3099999998</v>
      </c>
      <c r="F20" s="39"/>
      <c r="G20" s="34"/>
      <c r="H20" s="21"/>
      <c r="J20" s="22"/>
      <c r="K20" s="40"/>
      <c r="L20" s="29" t="s">
        <v>21</v>
      </c>
      <c r="M20" s="42">
        <f>156080-156080</f>
        <v>0</v>
      </c>
      <c r="N20" s="30"/>
      <c r="O20" s="25"/>
      <c r="P20" s="26"/>
    </row>
    <row r="21" spans="1:16" x14ac:dyDescent="0.2">
      <c r="A21" s="16"/>
      <c r="B21" s="17"/>
      <c r="C21" s="18"/>
      <c r="D21" s="29" t="s">
        <v>22</v>
      </c>
      <c r="E21" s="42">
        <f>1380483.64-723236.07</f>
        <v>657247.56999999995</v>
      </c>
      <c r="F21" s="39"/>
      <c r="G21" s="34"/>
      <c r="H21" s="21"/>
      <c r="J21" s="22"/>
      <c r="K21" s="40"/>
      <c r="L21" s="29" t="s">
        <v>23</v>
      </c>
      <c r="M21" s="42">
        <v>237900</v>
      </c>
      <c r="N21" s="30"/>
      <c r="O21" s="25"/>
      <c r="P21" s="26"/>
    </row>
    <row r="22" spans="1:16" x14ac:dyDescent="0.2">
      <c r="A22" s="16"/>
      <c r="B22" s="17"/>
      <c r="C22" s="18"/>
      <c r="D22" s="29" t="s">
        <v>24</v>
      </c>
      <c r="E22" s="42">
        <f>2235871.34-1154544.19</f>
        <v>1081327.1499999999</v>
      </c>
      <c r="F22" s="39"/>
      <c r="G22" s="34"/>
      <c r="H22" s="21"/>
      <c r="J22" s="22"/>
      <c r="K22" s="40"/>
      <c r="L22" s="29" t="s">
        <v>25</v>
      </c>
      <c r="M22" s="42">
        <v>129260.28</v>
      </c>
      <c r="N22" s="30"/>
      <c r="O22" s="25"/>
      <c r="P22" s="26"/>
    </row>
    <row r="23" spans="1:16" x14ac:dyDescent="0.2">
      <c r="A23" s="16"/>
      <c r="B23" s="17"/>
      <c r="C23" s="18"/>
      <c r="D23" s="29" t="s">
        <v>26</v>
      </c>
      <c r="E23" s="42">
        <f>228800-114400</f>
        <v>114400</v>
      </c>
      <c r="F23" s="39"/>
      <c r="G23" s="34"/>
      <c r="H23" s="21"/>
      <c r="J23" s="22"/>
      <c r="K23" s="40"/>
      <c r="L23" s="29" t="s">
        <v>27</v>
      </c>
      <c r="M23" s="42">
        <v>0</v>
      </c>
      <c r="N23" s="30"/>
      <c r="O23" s="25"/>
      <c r="P23" s="26"/>
    </row>
    <row r="24" spans="1:16" x14ac:dyDescent="0.2">
      <c r="A24" s="5"/>
      <c r="B24" s="17"/>
      <c r="C24" s="18"/>
      <c r="D24" s="29" t="s">
        <v>28</v>
      </c>
      <c r="E24" s="42">
        <f>1440402.76-739665.63</f>
        <v>700737.13</v>
      </c>
      <c r="F24" s="39"/>
      <c r="G24" s="43"/>
      <c r="H24" s="21"/>
      <c r="J24" s="22"/>
      <c r="K24" s="40"/>
      <c r="L24" s="29" t="s">
        <v>29</v>
      </c>
      <c r="M24" s="42">
        <f>3832-960</f>
        <v>2872</v>
      </c>
      <c r="N24" s="30"/>
      <c r="O24" s="25"/>
      <c r="P24" s="26"/>
    </row>
    <row r="25" spans="1:16" x14ac:dyDescent="0.2">
      <c r="A25" s="5"/>
      <c r="B25" s="17"/>
      <c r="C25" s="18"/>
      <c r="D25" s="29" t="s">
        <v>30</v>
      </c>
      <c r="E25" s="41">
        <f>29578498.58-15012323.16</f>
        <v>14566175.419999998</v>
      </c>
      <c r="F25" s="44"/>
      <c r="G25" s="34"/>
      <c r="H25" s="21"/>
      <c r="J25" s="22"/>
      <c r="K25" s="40"/>
      <c r="L25" s="29" t="s">
        <v>31</v>
      </c>
      <c r="M25" s="42">
        <v>4488643.8600000003</v>
      </c>
      <c r="N25" s="30"/>
      <c r="O25" s="25"/>
      <c r="P25" s="26"/>
    </row>
    <row r="26" spans="1:16" x14ac:dyDescent="0.2">
      <c r="A26" s="31"/>
      <c r="B26" s="17"/>
      <c r="C26" s="18"/>
      <c r="D26" s="29" t="s">
        <v>32</v>
      </c>
      <c r="E26" s="41">
        <v>0</v>
      </c>
      <c r="F26" s="45"/>
      <c r="G26" s="34"/>
      <c r="H26" s="21"/>
      <c r="J26" s="22"/>
      <c r="K26" s="40"/>
      <c r="L26" s="29" t="s">
        <v>33</v>
      </c>
      <c r="M26" s="42">
        <v>1027864.78</v>
      </c>
      <c r="N26" s="30"/>
      <c r="O26" s="25"/>
      <c r="P26" s="26"/>
    </row>
    <row r="27" spans="1:16" x14ac:dyDescent="0.2">
      <c r="A27" s="16"/>
      <c r="B27" s="17"/>
      <c r="C27" s="18"/>
      <c r="D27" s="29" t="s">
        <v>34</v>
      </c>
      <c r="E27" s="42">
        <f>3038429.06-1392287.76</f>
        <v>1646141.3</v>
      </c>
      <c r="F27" s="39"/>
      <c r="G27" s="34"/>
      <c r="H27" s="21"/>
      <c r="J27" s="22"/>
      <c r="K27" s="40"/>
      <c r="L27" s="29" t="s">
        <v>35</v>
      </c>
      <c r="M27" s="42">
        <v>0</v>
      </c>
      <c r="N27" s="30"/>
      <c r="O27" s="25"/>
      <c r="P27" s="26"/>
    </row>
    <row r="28" spans="1:16" x14ac:dyDescent="0.2">
      <c r="A28" s="16"/>
      <c r="B28" s="17"/>
      <c r="C28" s="18"/>
      <c r="D28" s="29" t="s">
        <v>36</v>
      </c>
      <c r="E28" s="42">
        <f>2640163.99-1319365.12</f>
        <v>1320798.8700000001</v>
      </c>
      <c r="F28" s="39"/>
      <c r="G28" s="34"/>
      <c r="H28" s="21"/>
      <c r="J28" s="22"/>
      <c r="K28" s="40"/>
      <c r="L28" s="29" t="s">
        <v>37</v>
      </c>
      <c r="M28" s="42">
        <f>110583.97-17066.09</f>
        <v>93517.88</v>
      </c>
      <c r="N28" s="30"/>
      <c r="O28" s="25"/>
      <c r="P28" s="26"/>
    </row>
    <row r="29" spans="1:16" x14ac:dyDescent="0.2">
      <c r="A29" s="16"/>
      <c r="B29" s="17"/>
      <c r="C29" s="18"/>
      <c r="D29" s="29" t="s">
        <v>38</v>
      </c>
      <c r="E29" s="41">
        <f>5143528.33-2699051.31</f>
        <v>2444477.02</v>
      </c>
      <c r="F29" s="39"/>
      <c r="G29" s="34"/>
      <c r="H29" s="21"/>
      <c r="J29" s="22"/>
      <c r="K29" s="40"/>
      <c r="L29" s="29" t="s">
        <v>39</v>
      </c>
      <c r="M29" s="42">
        <f>15238.97-5738.97</f>
        <v>9500</v>
      </c>
      <c r="N29" s="30"/>
      <c r="O29" s="25"/>
      <c r="P29" s="26"/>
    </row>
    <row r="30" spans="1:16" x14ac:dyDescent="0.2">
      <c r="A30" s="16"/>
      <c r="B30" s="17"/>
      <c r="C30" s="18"/>
      <c r="D30" s="29" t="s">
        <v>40</v>
      </c>
      <c r="E30" s="41">
        <f>2224886.31-1250073.15</f>
        <v>974813.16000000015</v>
      </c>
      <c r="F30" s="39"/>
      <c r="G30" s="34"/>
      <c r="H30" s="35"/>
      <c r="I30" s="36"/>
      <c r="J30" s="37"/>
      <c r="K30" s="40"/>
      <c r="L30" s="29" t="s">
        <v>41</v>
      </c>
      <c r="M30" s="42">
        <f>378567.91-191166.21</f>
        <v>187401.69999999998</v>
      </c>
      <c r="N30" s="30"/>
      <c r="O30" s="25"/>
      <c r="P30" s="26"/>
    </row>
    <row r="31" spans="1:16" x14ac:dyDescent="0.2">
      <c r="A31" s="16"/>
      <c r="B31" s="17"/>
      <c r="C31" s="18"/>
      <c r="D31" s="29" t="s">
        <v>42</v>
      </c>
      <c r="E31" s="41">
        <f>4122914.69-1710044.54</f>
        <v>2412870.15</v>
      </c>
      <c r="F31" s="39"/>
      <c r="G31" s="34"/>
      <c r="H31" s="35"/>
      <c r="I31" s="36"/>
      <c r="J31" s="37"/>
      <c r="K31" s="40"/>
      <c r="L31" s="29" t="s">
        <v>43</v>
      </c>
      <c r="M31" s="42">
        <f>495136.94-312271</f>
        <v>182865.94</v>
      </c>
      <c r="N31" s="30"/>
      <c r="O31" s="25"/>
      <c r="P31" s="26"/>
    </row>
    <row r="32" spans="1:16" x14ac:dyDescent="0.2">
      <c r="A32" s="16"/>
      <c r="B32" s="17"/>
      <c r="C32" s="18"/>
      <c r="D32" s="46" t="s">
        <v>44</v>
      </c>
      <c r="E32" s="41">
        <v>0</v>
      </c>
      <c r="F32" s="44"/>
      <c r="G32" s="43"/>
      <c r="H32" s="21"/>
      <c r="J32" s="22"/>
      <c r="K32" s="40"/>
      <c r="L32" s="46" t="s">
        <v>45</v>
      </c>
      <c r="M32" s="42">
        <v>431330.69</v>
      </c>
      <c r="N32" s="30"/>
      <c r="O32" s="25"/>
      <c r="P32" s="26"/>
    </row>
    <row r="33" spans="1:16" x14ac:dyDescent="0.2">
      <c r="A33" s="16"/>
      <c r="B33" s="17"/>
      <c r="C33" s="18"/>
      <c r="D33" s="244"/>
      <c r="E33" s="39"/>
      <c r="F33" s="39"/>
      <c r="G33" s="34"/>
      <c r="H33" s="21"/>
      <c r="J33" s="22"/>
      <c r="K33" s="40"/>
      <c r="L33" s="245"/>
      <c r="M33" s="245"/>
      <c r="N33" s="30"/>
      <c r="O33" s="25"/>
      <c r="P33" s="26"/>
    </row>
    <row r="34" spans="1:16" x14ac:dyDescent="0.2">
      <c r="A34" s="16"/>
      <c r="B34" s="17"/>
      <c r="C34" s="18"/>
      <c r="D34" s="243" t="s">
        <v>46</v>
      </c>
      <c r="E34" s="47"/>
      <c r="F34" s="33">
        <f>SUM(E35:E58)</f>
        <v>13627340.369999997</v>
      </c>
      <c r="G34" s="34"/>
      <c r="H34" s="21"/>
      <c r="J34" s="22"/>
      <c r="K34" s="40"/>
      <c r="L34" s="245"/>
      <c r="M34" s="245"/>
      <c r="N34" s="30"/>
      <c r="O34" s="25"/>
      <c r="P34" s="26"/>
    </row>
    <row r="35" spans="1:16" x14ac:dyDescent="0.2">
      <c r="A35" s="16"/>
      <c r="B35" s="17"/>
      <c r="C35" s="18"/>
      <c r="D35" s="29" t="s">
        <v>47</v>
      </c>
      <c r="E35" s="48">
        <f>1684395.25-691744.94</f>
        <v>992650.31</v>
      </c>
      <c r="F35" s="49"/>
      <c r="G35" s="34"/>
      <c r="H35" s="21"/>
      <c r="J35" s="22"/>
      <c r="K35" s="40"/>
      <c r="L35" s="245"/>
      <c r="M35" s="245"/>
      <c r="N35" s="30"/>
      <c r="O35" s="25"/>
      <c r="P35" s="26"/>
    </row>
    <row r="36" spans="1:16" x14ac:dyDescent="0.2">
      <c r="A36" s="16"/>
      <c r="B36" s="17"/>
      <c r="C36" s="18"/>
      <c r="D36" s="29" t="s">
        <v>48</v>
      </c>
      <c r="E36" s="48">
        <v>0</v>
      </c>
      <c r="F36" s="49"/>
      <c r="G36" s="34"/>
      <c r="H36" s="21"/>
      <c r="J36" s="22"/>
      <c r="K36" s="40"/>
      <c r="L36" s="50"/>
      <c r="M36" s="51"/>
      <c r="N36" s="245"/>
      <c r="O36" s="25"/>
      <c r="P36" s="26"/>
    </row>
    <row r="37" spans="1:16" x14ac:dyDescent="0.2">
      <c r="A37" s="16"/>
      <c r="B37" s="17"/>
      <c r="C37" s="18"/>
      <c r="D37" s="29" t="s">
        <v>49</v>
      </c>
      <c r="E37" s="48">
        <f>421365.29-135884.68</f>
        <v>285480.61</v>
      </c>
      <c r="F37" s="49"/>
      <c r="G37" s="34"/>
      <c r="H37" s="21"/>
      <c r="J37" s="22"/>
      <c r="K37" s="40"/>
      <c r="L37" s="24" t="s">
        <v>50</v>
      </c>
      <c r="M37" s="52"/>
      <c r="N37" s="20">
        <f>SUM(M37:M45)</f>
        <v>41145276.839999996</v>
      </c>
      <c r="O37" s="25"/>
      <c r="P37" s="26"/>
    </row>
    <row r="38" spans="1:16" x14ac:dyDescent="0.2">
      <c r="A38" s="16"/>
      <c r="B38" s="17"/>
      <c r="C38" s="18"/>
      <c r="D38" s="29" t="s">
        <v>51</v>
      </c>
      <c r="E38" s="48">
        <f>183140.08+1033016.65</f>
        <v>1216156.73</v>
      </c>
      <c r="F38" s="49"/>
      <c r="G38" s="34"/>
      <c r="H38" s="21"/>
      <c r="J38" s="22"/>
      <c r="K38" s="40"/>
      <c r="L38" s="29" t="s">
        <v>52</v>
      </c>
      <c r="M38" s="42">
        <v>588728.44999999995</v>
      </c>
      <c r="N38" s="53"/>
      <c r="O38" s="25"/>
      <c r="P38" s="26"/>
    </row>
    <row r="39" spans="1:16" x14ac:dyDescent="0.2">
      <c r="A39" s="16"/>
      <c r="B39" s="17"/>
      <c r="C39" s="18"/>
      <c r="D39" s="29" t="s">
        <v>53</v>
      </c>
      <c r="E39" s="48">
        <f>4692146.5-2801128.71</f>
        <v>1891017.79</v>
      </c>
      <c r="F39" s="49"/>
      <c r="G39" s="34"/>
      <c r="H39" s="21"/>
      <c r="J39" s="22"/>
      <c r="K39" s="40"/>
      <c r="L39" s="29" t="s">
        <v>54</v>
      </c>
      <c r="M39" s="42">
        <v>7889452.2300000004</v>
      </c>
      <c r="N39" s="53"/>
      <c r="O39" s="25"/>
      <c r="P39" s="26"/>
    </row>
    <row r="40" spans="1:16" x14ac:dyDescent="0.2">
      <c r="A40" s="16"/>
      <c r="B40" s="17"/>
      <c r="C40" s="18"/>
      <c r="D40" s="29" t="s">
        <v>55</v>
      </c>
      <c r="E40" s="54">
        <f>4345940.63-1966864.54</f>
        <v>2379076.09</v>
      </c>
      <c r="F40" s="49"/>
      <c r="G40" s="34"/>
      <c r="H40" s="21"/>
      <c r="J40" s="22"/>
      <c r="K40" s="40"/>
      <c r="L40" s="41" t="s">
        <v>56</v>
      </c>
      <c r="M40" s="42">
        <v>1476258.04</v>
      </c>
      <c r="N40" s="55"/>
      <c r="O40" s="246"/>
      <c r="P40" s="26"/>
    </row>
    <row r="41" spans="1:16" x14ac:dyDescent="0.2">
      <c r="A41" s="16"/>
      <c r="B41" s="17"/>
      <c r="C41" s="18"/>
      <c r="D41" s="29" t="s">
        <v>57</v>
      </c>
      <c r="E41" s="48">
        <v>0</v>
      </c>
      <c r="F41" s="49"/>
      <c r="G41" s="34"/>
      <c r="H41" s="21"/>
      <c r="J41" s="22"/>
      <c r="K41" s="40"/>
      <c r="L41" s="29" t="s">
        <v>58</v>
      </c>
      <c r="M41" s="42">
        <v>9385384.8800000008</v>
      </c>
      <c r="N41" s="55"/>
      <c r="O41" s="246"/>
      <c r="P41" s="26"/>
    </row>
    <row r="42" spans="1:16" x14ac:dyDescent="0.2">
      <c r="A42" s="16"/>
      <c r="B42" s="17"/>
      <c r="C42" s="18"/>
      <c r="D42" s="29" t="s">
        <v>59</v>
      </c>
      <c r="E42" s="48">
        <f>1428882-918216</f>
        <v>510666</v>
      </c>
      <c r="F42" s="49"/>
      <c r="G42" s="34"/>
      <c r="H42" s="21"/>
      <c r="J42" s="56"/>
      <c r="K42" s="40"/>
      <c r="L42" s="29" t="s">
        <v>60</v>
      </c>
      <c r="M42" s="42">
        <v>15729577.859999999</v>
      </c>
      <c r="N42" s="55"/>
      <c r="O42" s="246"/>
      <c r="P42" s="26"/>
    </row>
    <row r="43" spans="1:16" x14ac:dyDescent="0.2">
      <c r="A43" s="16"/>
      <c r="B43" s="17"/>
      <c r="C43" s="18"/>
      <c r="D43" s="29" t="s">
        <v>61</v>
      </c>
      <c r="E43" s="48">
        <f>1643416.81-893185</f>
        <v>750231.81</v>
      </c>
      <c r="F43" s="49"/>
      <c r="G43" s="34"/>
      <c r="H43" s="21"/>
      <c r="J43" s="56"/>
      <c r="K43" s="57"/>
      <c r="L43" s="29" t="s">
        <v>62</v>
      </c>
      <c r="M43" s="42">
        <v>1289324.69</v>
      </c>
      <c r="N43" s="245"/>
      <c r="O43" s="246"/>
      <c r="P43" s="26"/>
    </row>
    <row r="44" spans="1:16" x14ac:dyDescent="0.2">
      <c r="A44" s="16"/>
      <c r="B44" s="17"/>
      <c r="C44" s="18"/>
      <c r="D44" s="29" t="s">
        <v>63</v>
      </c>
      <c r="E44" s="48">
        <f>1432777.43-1312197.43</f>
        <v>120580</v>
      </c>
      <c r="F44" s="49"/>
      <c r="G44" s="34"/>
      <c r="H44" s="21"/>
      <c r="J44" s="56"/>
      <c r="K44" s="57"/>
      <c r="L44" s="29" t="s">
        <v>64</v>
      </c>
      <c r="M44" s="42">
        <f>5943162.75-3843869.06</f>
        <v>2099293.69</v>
      </c>
      <c r="N44" s="245"/>
      <c r="O44" s="246"/>
      <c r="P44" s="26"/>
    </row>
    <row r="45" spans="1:16" x14ac:dyDescent="0.2">
      <c r="A45" s="16"/>
      <c r="B45" s="17"/>
      <c r="C45" s="18"/>
      <c r="D45" s="29" t="s">
        <v>65</v>
      </c>
      <c r="E45" s="48">
        <f>884484.9-819376.45</f>
        <v>65108.45000000007</v>
      </c>
      <c r="F45" s="49"/>
      <c r="G45" s="34"/>
      <c r="H45" s="21"/>
      <c r="J45" s="56"/>
      <c r="K45" s="57"/>
      <c r="L45" s="29" t="s">
        <v>66</v>
      </c>
      <c r="M45" s="42">
        <v>2687257</v>
      </c>
      <c r="N45" s="245"/>
      <c r="O45" s="246"/>
      <c r="P45" s="26"/>
    </row>
    <row r="46" spans="1:16" x14ac:dyDescent="0.2">
      <c r="A46" s="16"/>
      <c r="B46" s="17"/>
      <c r="C46" s="18"/>
      <c r="D46" s="29" t="s">
        <v>67</v>
      </c>
      <c r="E46" s="48">
        <f>478978.76-244214.53</f>
        <v>234764.23</v>
      </c>
      <c r="F46" s="49"/>
      <c r="G46" s="34"/>
      <c r="H46" s="21"/>
      <c r="J46" s="56"/>
      <c r="K46" s="40"/>
      <c r="L46" s="245"/>
      <c r="M46" s="245"/>
      <c r="N46" s="245"/>
      <c r="O46" s="25"/>
      <c r="P46" s="26"/>
    </row>
    <row r="47" spans="1:16" x14ac:dyDescent="0.2">
      <c r="A47" s="16"/>
      <c r="B47" s="17"/>
      <c r="C47" s="18"/>
      <c r="D47" s="46" t="s">
        <v>68</v>
      </c>
      <c r="E47" s="48">
        <f>2447640-381300</f>
        <v>2066340</v>
      </c>
      <c r="F47" s="49"/>
      <c r="G47" s="34"/>
      <c r="H47" s="21"/>
      <c r="J47" s="22"/>
      <c r="K47" s="40"/>
      <c r="L47" s="59"/>
      <c r="M47" s="60"/>
      <c r="N47" s="61"/>
      <c r="O47" s="25"/>
      <c r="P47" s="26"/>
    </row>
    <row r="48" spans="1:16" x14ac:dyDescent="0.2">
      <c r="A48" s="16"/>
      <c r="B48" s="17"/>
      <c r="C48" s="18"/>
      <c r="D48" s="29" t="s">
        <v>69</v>
      </c>
      <c r="E48" s="48">
        <f>428280-311880</f>
        <v>116400</v>
      </c>
      <c r="F48" s="49"/>
      <c r="G48" s="34"/>
      <c r="H48" s="21"/>
      <c r="J48" s="22"/>
      <c r="K48" s="40"/>
      <c r="L48" s="24" t="s">
        <v>70</v>
      </c>
      <c r="M48" s="19"/>
      <c r="N48" s="20">
        <f>SUM(M49:M50)</f>
        <v>1409968.6900000002</v>
      </c>
      <c r="O48" s="25"/>
      <c r="P48" s="26"/>
    </row>
    <row r="49" spans="1:16" x14ac:dyDescent="0.2">
      <c r="A49" s="16"/>
      <c r="B49" s="17"/>
      <c r="C49" s="18"/>
      <c r="D49" s="29" t="s">
        <v>71</v>
      </c>
      <c r="E49" s="48">
        <f>1002390.1-585027.98</f>
        <v>417362.12</v>
      </c>
      <c r="F49" s="49"/>
      <c r="G49" s="34"/>
      <c r="H49" s="21"/>
      <c r="J49" s="22"/>
      <c r="K49" s="40"/>
      <c r="L49" s="62" t="s">
        <v>72</v>
      </c>
      <c r="M49" s="41">
        <f>2962581.6-1552612.91</f>
        <v>1409968.6900000002</v>
      </c>
      <c r="N49" s="30"/>
      <c r="O49" s="25"/>
      <c r="P49" s="26"/>
    </row>
    <row r="50" spans="1:16" x14ac:dyDescent="0.2">
      <c r="A50" s="16"/>
      <c r="B50" s="17"/>
      <c r="C50" s="18"/>
      <c r="D50" s="29" t="s">
        <v>73</v>
      </c>
      <c r="E50" s="48">
        <v>0</v>
      </c>
      <c r="F50" s="49"/>
      <c r="G50" s="34"/>
      <c r="H50" s="21"/>
      <c r="J50" s="22"/>
      <c r="K50" s="40"/>
      <c r="L50" s="62" t="s">
        <v>74</v>
      </c>
      <c r="M50" s="41">
        <v>0</v>
      </c>
      <c r="N50" s="53"/>
      <c r="O50" s="25"/>
      <c r="P50" s="26"/>
    </row>
    <row r="51" spans="1:16" x14ac:dyDescent="0.2">
      <c r="A51" s="16"/>
      <c r="B51" s="17"/>
      <c r="C51" s="18"/>
      <c r="D51" s="247" t="s">
        <v>75</v>
      </c>
      <c r="E51" s="48">
        <f>2393411.05-813290.09</f>
        <v>1580120.96</v>
      </c>
      <c r="F51" s="49"/>
      <c r="G51" s="34"/>
      <c r="H51" s="21"/>
      <c r="J51" s="22"/>
      <c r="K51" s="40"/>
      <c r="L51" s="55"/>
      <c r="M51" s="51"/>
      <c r="N51" s="145"/>
      <c r="O51" s="25"/>
      <c r="P51" s="26"/>
    </row>
    <row r="52" spans="1:16" x14ac:dyDescent="0.2">
      <c r="A52" s="16"/>
      <c r="B52" s="17"/>
      <c r="C52" s="18"/>
      <c r="D52" s="29" t="s">
        <v>76</v>
      </c>
      <c r="E52" s="48">
        <v>0</v>
      </c>
      <c r="F52" s="49"/>
      <c r="G52" s="34"/>
      <c r="H52" s="21"/>
      <c r="J52" s="22"/>
      <c r="K52" s="23"/>
      <c r="L52" s="24" t="s">
        <v>77</v>
      </c>
      <c r="M52" s="63"/>
      <c r="N52" s="20">
        <f>SUM(M53)</f>
        <v>13903840.48</v>
      </c>
      <c r="O52" s="25"/>
      <c r="P52" s="26"/>
    </row>
    <row r="53" spans="1:16" x14ac:dyDescent="0.2">
      <c r="A53" s="16"/>
      <c r="B53" s="17"/>
      <c r="C53" s="18"/>
      <c r="D53" s="29" t="s">
        <v>78</v>
      </c>
      <c r="E53" s="48">
        <v>0</v>
      </c>
      <c r="F53" s="49"/>
      <c r="G53" s="34"/>
      <c r="H53" s="21"/>
      <c r="J53" s="22"/>
      <c r="K53" s="40"/>
      <c r="L53" s="62" t="s">
        <v>79</v>
      </c>
      <c r="M53" s="41">
        <f>29551241.93-15647401.45</f>
        <v>13903840.48</v>
      </c>
      <c r="N53" s="53"/>
      <c r="O53" s="25"/>
      <c r="P53" s="26"/>
    </row>
    <row r="54" spans="1:16" x14ac:dyDescent="0.2">
      <c r="A54" s="16"/>
      <c r="B54" s="17"/>
      <c r="C54" s="18"/>
      <c r="D54" s="29" t="s">
        <v>80</v>
      </c>
      <c r="E54" s="48">
        <f>78849.52-38649.41</f>
        <v>40200.11</v>
      </c>
      <c r="F54" s="64"/>
      <c r="G54" s="34"/>
      <c r="H54" s="35"/>
      <c r="J54" s="22"/>
      <c r="K54" s="40"/>
      <c r="L54" s="55"/>
      <c r="M54" s="51"/>
      <c r="N54" s="51"/>
      <c r="O54" s="25"/>
      <c r="P54" s="26"/>
    </row>
    <row r="55" spans="1:16" x14ac:dyDescent="0.2">
      <c r="A55" s="16"/>
      <c r="B55" s="17"/>
      <c r="C55" s="18"/>
      <c r="D55" s="46" t="s">
        <v>81</v>
      </c>
      <c r="E55" s="48">
        <f>952689.07-455043.09</f>
        <v>497645.97999999992</v>
      </c>
      <c r="F55" s="49"/>
      <c r="G55" s="34"/>
      <c r="H55" s="35"/>
      <c r="J55" s="22"/>
      <c r="K55" s="40"/>
      <c r="L55" s="24" t="s">
        <v>82</v>
      </c>
      <c r="M55" s="63"/>
      <c r="N55" s="20">
        <f>6274.82-2936.1</f>
        <v>3338.72</v>
      </c>
      <c r="O55" s="25"/>
      <c r="P55" s="26"/>
    </row>
    <row r="56" spans="1:16" x14ac:dyDescent="0.2">
      <c r="A56" s="16"/>
      <c r="B56" s="17"/>
      <c r="C56" s="18"/>
      <c r="D56" s="46" t="s">
        <v>83</v>
      </c>
      <c r="E56" s="48">
        <f>676317.5-290211.83</f>
        <v>386105.67</v>
      </c>
      <c r="F56" s="49"/>
      <c r="G56" s="34"/>
      <c r="H56" s="35"/>
      <c r="J56" s="22"/>
      <c r="K56" s="40"/>
      <c r="L56" s="62" t="s">
        <v>84</v>
      </c>
      <c r="M56" s="38">
        <f>6274.82-2936.1</f>
        <v>3338.72</v>
      </c>
      <c r="N56" s="53"/>
      <c r="O56" s="25"/>
      <c r="P56" s="26"/>
    </row>
    <row r="57" spans="1:16" x14ac:dyDescent="0.2">
      <c r="A57" s="16"/>
      <c r="B57" s="17"/>
      <c r="C57" s="18"/>
      <c r="D57" s="46" t="s">
        <v>85</v>
      </c>
      <c r="E57" s="48">
        <f>417489.99-340056.48</f>
        <v>77433.510000000009</v>
      </c>
      <c r="F57" s="64"/>
      <c r="G57" s="34"/>
      <c r="H57" s="35"/>
      <c r="J57" s="22"/>
      <c r="K57" s="40"/>
      <c r="L57" s="55"/>
      <c r="M57" s="51"/>
      <c r="N57" s="145"/>
      <c r="O57" s="25"/>
      <c r="P57" s="26"/>
    </row>
    <row r="58" spans="1:16" x14ac:dyDescent="0.2">
      <c r="A58" s="16"/>
      <c r="B58" s="17"/>
      <c r="C58" s="18"/>
      <c r="D58" s="46" t="s">
        <v>86</v>
      </c>
      <c r="E58" s="48">
        <v>0</v>
      </c>
      <c r="F58" s="49"/>
      <c r="G58" s="34"/>
      <c r="H58" s="35"/>
      <c r="J58" s="22"/>
      <c r="K58" s="40"/>
      <c r="L58" s="24" t="s">
        <v>87</v>
      </c>
      <c r="M58" s="63"/>
      <c r="N58" s="20">
        <f>SUM(M60:M62)</f>
        <v>0</v>
      </c>
      <c r="O58" s="25"/>
      <c r="P58" s="26"/>
    </row>
    <row r="59" spans="1:16" x14ac:dyDescent="0.2">
      <c r="A59" s="16"/>
      <c r="B59" s="17"/>
      <c r="C59" s="18"/>
      <c r="D59" s="244"/>
      <c r="E59" s="39"/>
      <c r="F59" s="39"/>
      <c r="G59" s="34"/>
      <c r="H59" s="35"/>
      <c r="J59" s="22"/>
      <c r="K59" s="40"/>
      <c r="L59" s="62" t="s">
        <v>88</v>
      </c>
      <c r="M59" s="41">
        <v>0</v>
      </c>
      <c r="N59" s="30"/>
      <c r="O59" s="25"/>
      <c r="P59" s="26"/>
    </row>
    <row r="60" spans="1:16" x14ac:dyDescent="0.2">
      <c r="A60" s="16"/>
      <c r="B60" s="17"/>
      <c r="C60" s="18"/>
      <c r="D60" s="248" t="s">
        <v>89</v>
      </c>
      <c r="E60" s="65"/>
      <c r="F60" s="66">
        <f>5827366.7-2832599.42</f>
        <v>2994767.2800000003</v>
      </c>
      <c r="G60" s="34"/>
      <c r="H60" s="35"/>
      <c r="J60" s="22"/>
      <c r="K60" s="40"/>
      <c r="L60" s="62" t="s">
        <v>90</v>
      </c>
      <c r="M60" s="41">
        <v>0</v>
      </c>
      <c r="N60" s="30"/>
      <c r="O60" s="25"/>
      <c r="P60" s="26"/>
    </row>
    <row r="61" spans="1:16" x14ac:dyDescent="0.2">
      <c r="A61" s="16"/>
      <c r="B61" s="17"/>
      <c r="C61" s="18"/>
      <c r="D61" s="27"/>
      <c r="E61" s="68"/>
      <c r="F61" s="69"/>
      <c r="G61" s="34"/>
      <c r="H61" s="35"/>
      <c r="J61" s="37"/>
      <c r="K61" s="110"/>
      <c r="L61" s="62" t="s">
        <v>91</v>
      </c>
      <c r="M61" s="41">
        <v>0</v>
      </c>
      <c r="N61" s="249"/>
      <c r="O61" s="25"/>
      <c r="P61" s="26"/>
    </row>
    <row r="62" spans="1:16" x14ac:dyDescent="0.2">
      <c r="A62" s="16"/>
      <c r="B62" s="17"/>
      <c r="C62" s="18"/>
      <c r="D62" s="250" t="s">
        <v>92</v>
      </c>
      <c r="E62" s="71"/>
      <c r="F62" s="66">
        <f>1963122.26-1267067.89</f>
        <v>696054.37000000011</v>
      </c>
      <c r="G62" s="34"/>
      <c r="H62" s="35"/>
      <c r="J62" s="22"/>
      <c r="K62" s="150"/>
      <c r="L62" s="73"/>
      <c r="M62" s="60"/>
      <c r="N62" s="58"/>
      <c r="O62" s="25"/>
      <c r="P62" s="26"/>
    </row>
    <row r="63" spans="1:16" x14ac:dyDescent="0.2">
      <c r="A63" s="16"/>
      <c r="B63" s="17"/>
      <c r="C63" s="18"/>
      <c r="D63" s="44"/>
      <c r="E63" s="39"/>
      <c r="F63" s="39"/>
      <c r="G63" s="34"/>
      <c r="H63" s="35"/>
      <c r="I63" s="36"/>
      <c r="J63" s="22"/>
      <c r="K63" s="72"/>
      <c r="L63" s="72"/>
      <c r="M63" s="76"/>
      <c r="N63" s="74"/>
      <c r="O63" s="25"/>
      <c r="P63" s="26"/>
    </row>
    <row r="64" spans="1:16" x14ac:dyDescent="0.2">
      <c r="A64" s="16"/>
      <c r="B64" s="17"/>
      <c r="C64" s="18"/>
      <c r="D64" s="248" t="s">
        <v>93</v>
      </c>
      <c r="E64" s="65"/>
      <c r="F64" s="77">
        <f>17951.38-12873.29</f>
        <v>5078.09</v>
      </c>
      <c r="G64" s="251"/>
      <c r="H64" s="35"/>
      <c r="I64" s="36"/>
      <c r="J64" s="22"/>
      <c r="K64" s="72"/>
      <c r="L64" s="72"/>
      <c r="M64" s="76"/>
      <c r="N64" s="74"/>
      <c r="O64" s="25"/>
      <c r="P64" s="26"/>
    </row>
    <row r="65" spans="1:16" x14ac:dyDescent="0.2">
      <c r="A65" s="16"/>
      <c r="B65" s="17"/>
      <c r="C65" s="18"/>
      <c r="D65" s="252" t="s">
        <v>94</v>
      </c>
      <c r="E65" s="253">
        <f>17951.38-12873.29</f>
        <v>5078.09</v>
      </c>
      <c r="F65" s="39"/>
      <c r="G65" s="34"/>
      <c r="H65" s="35"/>
      <c r="I65" s="36"/>
      <c r="J65" s="22"/>
      <c r="K65" s="72"/>
      <c r="L65" s="72"/>
      <c r="M65" s="76"/>
      <c r="N65" s="74"/>
      <c r="O65" s="25"/>
      <c r="P65" s="26"/>
    </row>
    <row r="66" spans="1:16" x14ac:dyDescent="0.2">
      <c r="A66" s="16"/>
      <c r="B66" s="17"/>
      <c r="C66" s="78"/>
      <c r="D66" s="79"/>
      <c r="E66" s="80"/>
      <c r="F66" s="80"/>
      <c r="G66" s="81"/>
      <c r="H66" s="35"/>
      <c r="I66" s="36"/>
      <c r="J66" s="22"/>
      <c r="K66" s="72"/>
      <c r="L66" s="72"/>
      <c r="M66" s="76"/>
      <c r="N66" s="74"/>
      <c r="O66" s="25"/>
      <c r="P66" s="26"/>
    </row>
    <row r="67" spans="1:16" ht="8" customHeight="1" x14ac:dyDescent="0.2">
      <c r="A67" s="16"/>
      <c r="B67" s="82"/>
      <c r="C67" s="83"/>
      <c r="D67" s="84"/>
      <c r="E67" s="85"/>
      <c r="F67" s="85"/>
      <c r="G67" s="83"/>
      <c r="H67" s="86"/>
      <c r="I67" s="36"/>
      <c r="J67" s="22"/>
      <c r="K67" s="72"/>
      <c r="L67" s="72"/>
      <c r="M67" s="76"/>
      <c r="N67" s="74"/>
      <c r="O67" s="25"/>
      <c r="P67" s="26"/>
    </row>
    <row r="68" spans="1:16" ht="17" customHeight="1" x14ac:dyDescent="0.2">
      <c r="A68" s="16"/>
      <c r="D68" s="90"/>
      <c r="E68" s="36"/>
      <c r="F68" s="36"/>
      <c r="H68" s="36"/>
      <c r="I68" s="36"/>
      <c r="J68" s="37"/>
      <c r="K68" s="76"/>
      <c r="L68" s="72"/>
      <c r="M68" s="76"/>
      <c r="N68" s="72"/>
      <c r="O68" s="25"/>
      <c r="P68" s="26"/>
    </row>
    <row r="69" spans="1:16" ht="9" customHeight="1" x14ac:dyDescent="0.2">
      <c r="A69" s="16"/>
      <c r="B69" s="93"/>
      <c r="C69" s="94"/>
      <c r="D69" s="95"/>
      <c r="E69" s="96"/>
      <c r="F69" s="96"/>
      <c r="G69" s="94"/>
      <c r="H69" s="97"/>
      <c r="I69" s="36"/>
      <c r="J69" s="37"/>
      <c r="K69" s="76"/>
      <c r="L69" s="72"/>
      <c r="M69" s="76"/>
      <c r="N69" s="72"/>
      <c r="O69" s="25"/>
      <c r="P69" s="26"/>
    </row>
    <row r="70" spans="1:16" x14ac:dyDescent="0.2">
      <c r="A70" s="16"/>
      <c r="B70" s="17"/>
      <c r="C70" s="102"/>
      <c r="D70" s="103"/>
      <c r="E70" s="104"/>
      <c r="F70" s="104"/>
      <c r="G70" s="105"/>
      <c r="H70" s="35"/>
      <c r="I70" s="36"/>
      <c r="J70" s="37"/>
      <c r="K70" s="106"/>
      <c r="L70" s="195"/>
      <c r="M70" s="197"/>
      <c r="N70" s="108"/>
      <c r="O70" s="25"/>
      <c r="P70" s="26"/>
    </row>
    <row r="71" spans="1:16" x14ac:dyDescent="0.2">
      <c r="A71" s="16"/>
      <c r="B71" s="17"/>
      <c r="C71" s="18"/>
      <c r="D71" s="206" t="s">
        <v>95</v>
      </c>
      <c r="E71" s="109"/>
      <c r="F71" s="109"/>
      <c r="G71" s="20">
        <f>SUM(F73:F77)</f>
        <v>6282760.9199999999</v>
      </c>
      <c r="H71" s="35"/>
      <c r="I71" s="36"/>
      <c r="J71" s="37"/>
      <c r="K71" s="110"/>
      <c r="L71" s="194" t="s">
        <v>96</v>
      </c>
      <c r="M71" s="196"/>
      <c r="N71" s="20">
        <v>0</v>
      </c>
      <c r="O71" s="25"/>
      <c r="P71" s="26"/>
    </row>
    <row r="72" spans="1:16" x14ac:dyDescent="0.2">
      <c r="A72" s="16"/>
      <c r="B72" s="17"/>
      <c r="C72" s="18"/>
      <c r="D72" s="207"/>
      <c r="E72" s="39"/>
      <c r="F72" s="39"/>
      <c r="G72" s="43"/>
      <c r="H72" s="35"/>
      <c r="I72" s="36"/>
      <c r="J72" s="37"/>
      <c r="K72" s="110"/>
      <c r="L72" s="55"/>
      <c r="M72" s="51"/>
      <c r="N72" s="53"/>
      <c r="O72" s="25"/>
      <c r="P72" s="26"/>
    </row>
    <row r="73" spans="1:16" x14ac:dyDescent="0.2">
      <c r="A73" s="16"/>
      <c r="B73" s="17"/>
      <c r="C73" s="18"/>
      <c r="D73" s="208" t="s">
        <v>5</v>
      </c>
      <c r="E73" s="111"/>
      <c r="F73" s="66">
        <f>9690112.48-4562813.65</f>
        <v>5127298.83</v>
      </c>
      <c r="G73" s="34"/>
      <c r="H73" s="35"/>
      <c r="I73" s="36"/>
      <c r="J73" s="37"/>
      <c r="K73" s="110"/>
      <c r="L73" s="29" t="s">
        <v>97</v>
      </c>
      <c r="M73" s="41">
        <v>0</v>
      </c>
      <c r="N73" s="30"/>
      <c r="O73" s="25"/>
      <c r="P73" s="26"/>
    </row>
    <row r="74" spans="1:16" x14ac:dyDescent="0.2">
      <c r="A74" s="16"/>
      <c r="B74" s="17"/>
      <c r="C74" s="18"/>
      <c r="D74" s="209" t="s">
        <v>98</v>
      </c>
      <c r="E74" s="112"/>
      <c r="F74" s="113">
        <f>610089.05-439189.05</f>
        <v>170900.00000000006</v>
      </c>
      <c r="G74" s="43"/>
      <c r="H74" s="35"/>
      <c r="I74" s="36"/>
      <c r="J74" s="37"/>
      <c r="K74" s="70"/>
      <c r="L74" s="59"/>
      <c r="M74" s="114"/>
      <c r="N74" s="58"/>
      <c r="O74" s="25"/>
      <c r="P74" s="26"/>
    </row>
    <row r="75" spans="1:16" x14ac:dyDescent="0.2">
      <c r="A75" s="16"/>
      <c r="B75" s="17"/>
      <c r="C75" s="18"/>
      <c r="D75" s="210" t="s">
        <v>99</v>
      </c>
      <c r="E75" s="115"/>
      <c r="F75" s="39"/>
      <c r="G75" s="43"/>
      <c r="H75" s="35"/>
      <c r="I75" s="36"/>
      <c r="J75" s="37"/>
      <c r="K75" s="76"/>
      <c r="L75" s="116"/>
      <c r="M75" s="117"/>
      <c r="N75" s="72"/>
      <c r="O75" s="25"/>
      <c r="P75" s="26"/>
    </row>
    <row r="76" spans="1:16" x14ac:dyDescent="0.2">
      <c r="A76" s="16"/>
      <c r="B76" s="17"/>
      <c r="C76" s="18"/>
      <c r="D76" s="207"/>
      <c r="E76" s="39"/>
      <c r="F76" s="39"/>
      <c r="G76" s="43"/>
      <c r="H76" s="35"/>
      <c r="I76" s="36"/>
      <c r="J76" s="37"/>
      <c r="K76" s="76"/>
      <c r="L76" s="72"/>
      <c r="M76" s="76"/>
      <c r="N76" s="72"/>
      <c r="O76" s="25"/>
      <c r="P76" s="26"/>
    </row>
    <row r="77" spans="1:16" x14ac:dyDescent="0.2">
      <c r="A77" s="16"/>
      <c r="B77" s="17"/>
      <c r="C77" s="18"/>
      <c r="D77" s="211" t="s">
        <v>46</v>
      </c>
      <c r="E77" s="65"/>
      <c r="F77" s="118">
        <f>SUM(E78:E85)</f>
        <v>984562.09</v>
      </c>
      <c r="G77" s="34"/>
      <c r="H77" s="35"/>
      <c r="I77" s="36"/>
      <c r="J77" s="37"/>
      <c r="K77" s="76"/>
      <c r="L77" s="72"/>
      <c r="M77" s="76"/>
      <c r="N77" s="72"/>
      <c r="O77" s="25"/>
      <c r="P77" s="26"/>
    </row>
    <row r="78" spans="1:16" x14ac:dyDescent="0.2">
      <c r="A78" s="16"/>
      <c r="B78" s="17"/>
      <c r="C78" s="18"/>
      <c r="D78" s="212" t="s">
        <v>100</v>
      </c>
      <c r="E78" s="41">
        <f>407198.01-330033.06</f>
        <v>77164.950000000012</v>
      </c>
      <c r="F78" s="44"/>
      <c r="G78" s="34"/>
      <c r="H78" s="35"/>
      <c r="I78" s="36"/>
      <c r="J78" s="37"/>
      <c r="K78" s="76"/>
      <c r="L78" s="72"/>
      <c r="M78" s="76"/>
      <c r="N78" s="72"/>
      <c r="O78" s="25"/>
      <c r="P78" s="26"/>
    </row>
    <row r="79" spans="1:16" x14ac:dyDescent="0.2">
      <c r="A79" s="16"/>
      <c r="B79" s="17"/>
      <c r="C79" s="18"/>
      <c r="D79" s="212" t="s">
        <v>101</v>
      </c>
      <c r="E79" s="41">
        <f>492861.55-324492.46</f>
        <v>168369.08999999997</v>
      </c>
      <c r="F79" s="39"/>
      <c r="G79" s="34"/>
      <c r="H79" s="35"/>
      <c r="I79" s="36"/>
      <c r="J79" s="37"/>
      <c r="K79" s="76"/>
      <c r="L79" s="72"/>
      <c r="M79" s="76"/>
      <c r="N79" s="72"/>
      <c r="O79" s="25"/>
      <c r="P79" s="26"/>
    </row>
    <row r="80" spans="1:16" x14ac:dyDescent="0.2">
      <c r="A80" s="16"/>
      <c r="B80" s="17"/>
      <c r="C80" s="18"/>
      <c r="D80" s="212" t="s">
        <v>102</v>
      </c>
      <c r="E80" s="41">
        <f>904690.54-407580.95</f>
        <v>497109.59</v>
      </c>
      <c r="F80" s="39"/>
      <c r="G80" s="43"/>
      <c r="H80" s="35"/>
      <c r="I80" s="36"/>
      <c r="J80" s="37"/>
      <c r="K80" s="76"/>
      <c r="L80" s="72"/>
      <c r="M80" s="76"/>
      <c r="N80" s="72"/>
      <c r="O80" s="25"/>
      <c r="P80" s="26"/>
    </row>
    <row r="81" spans="1:16" x14ac:dyDescent="0.2">
      <c r="A81" s="16"/>
      <c r="B81" s="17"/>
      <c r="C81" s="18"/>
      <c r="D81" s="212" t="s">
        <v>103</v>
      </c>
      <c r="E81" s="41">
        <f>194458.69-95269.23</f>
        <v>99189.46</v>
      </c>
      <c r="F81" s="39"/>
      <c r="G81" s="43"/>
      <c r="H81" s="35"/>
      <c r="I81" s="36"/>
      <c r="J81" s="37"/>
      <c r="K81" s="76"/>
      <c r="L81" s="72"/>
      <c r="M81" s="76"/>
      <c r="N81" s="72"/>
      <c r="O81" s="25"/>
      <c r="P81" s="26"/>
    </row>
    <row r="82" spans="1:16" x14ac:dyDescent="0.2">
      <c r="A82" s="16"/>
      <c r="B82" s="17"/>
      <c r="C82" s="18"/>
      <c r="D82" s="212" t="s">
        <v>104</v>
      </c>
      <c r="E82" s="41">
        <v>121386</v>
      </c>
      <c r="F82" s="39"/>
      <c r="G82" s="34"/>
      <c r="H82" s="35"/>
      <c r="I82" s="36"/>
      <c r="J82" s="37"/>
      <c r="K82" s="76"/>
      <c r="L82" s="72"/>
      <c r="M82" s="76"/>
      <c r="N82" s="72"/>
      <c r="O82" s="25"/>
      <c r="P82" s="26"/>
    </row>
    <row r="83" spans="1:16" x14ac:dyDescent="0.2">
      <c r="A83" s="16"/>
      <c r="B83" s="17"/>
      <c r="C83" s="18"/>
      <c r="D83" s="212" t="s">
        <v>105</v>
      </c>
      <c r="E83" s="41">
        <f>10633.49-5013.49</f>
        <v>5620</v>
      </c>
      <c r="F83" s="39"/>
      <c r="G83" s="43"/>
      <c r="H83" s="35"/>
      <c r="I83" s="36"/>
      <c r="J83" s="37"/>
      <c r="K83" s="76"/>
      <c r="L83" s="72"/>
      <c r="M83" s="76"/>
      <c r="N83" s="72"/>
      <c r="O83" s="25"/>
      <c r="P83" s="26"/>
    </row>
    <row r="84" spans="1:16" x14ac:dyDescent="0.2">
      <c r="A84" s="16"/>
      <c r="B84" s="17"/>
      <c r="C84" s="18"/>
      <c r="D84" s="213" t="s">
        <v>106</v>
      </c>
      <c r="E84" s="41">
        <v>0</v>
      </c>
      <c r="F84" s="39"/>
      <c r="G84" s="43"/>
      <c r="H84" s="35"/>
      <c r="I84" s="36"/>
      <c r="J84" s="37"/>
      <c r="K84" s="76"/>
      <c r="L84" s="72"/>
      <c r="M84" s="76"/>
      <c r="N84" s="72"/>
      <c r="O84" s="25"/>
      <c r="P84" s="26"/>
    </row>
    <row r="85" spans="1:16" x14ac:dyDescent="0.2">
      <c r="A85" s="16"/>
      <c r="B85" s="17"/>
      <c r="C85" s="18"/>
      <c r="D85" s="213" t="s">
        <v>107</v>
      </c>
      <c r="E85" s="41">
        <f>32681-16958</f>
        <v>15723</v>
      </c>
      <c r="F85" s="39"/>
      <c r="G85" s="43"/>
      <c r="H85" s="35"/>
      <c r="I85" s="36"/>
      <c r="J85" s="37"/>
      <c r="K85" s="76"/>
      <c r="L85" s="72"/>
      <c r="M85" s="76"/>
      <c r="N85" s="72"/>
      <c r="O85" s="25"/>
      <c r="P85" s="26"/>
    </row>
    <row r="86" spans="1:16" ht="9" customHeight="1" x14ac:dyDescent="0.2">
      <c r="A86" s="16"/>
      <c r="B86" s="17"/>
      <c r="C86" s="18"/>
      <c r="D86" s="207"/>
      <c r="E86" s="39"/>
      <c r="F86" s="39"/>
      <c r="G86" s="34"/>
      <c r="H86" s="35"/>
      <c r="I86" s="36"/>
      <c r="J86" s="37"/>
      <c r="K86" s="76"/>
      <c r="L86" s="72"/>
      <c r="M86" s="76"/>
      <c r="N86" s="72"/>
      <c r="O86" s="25"/>
      <c r="P86" s="26"/>
    </row>
    <row r="87" spans="1:16" x14ac:dyDescent="0.2">
      <c r="A87" s="16"/>
      <c r="B87" s="17"/>
      <c r="C87" s="18"/>
      <c r="D87" s="211" t="s">
        <v>108</v>
      </c>
      <c r="E87" s="65"/>
      <c r="F87" s="119">
        <v>0</v>
      </c>
      <c r="G87" s="34"/>
      <c r="H87" s="35"/>
      <c r="I87" s="36"/>
      <c r="J87" s="37"/>
      <c r="K87" s="76"/>
      <c r="L87" s="72"/>
      <c r="M87" s="72"/>
      <c r="N87" s="72"/>
      <c r="O87" s="25"/>
      <c r="P87" s="26"/>
    </row>
    <row r="88" spans="1:16" x14ac:dyDescent="0.2">
      <c r="A88" s="16"/>
      <c r="B88" s="17"/>
      <c r="C88" s="18"/>
      <c r="D88" s="214" t="s">
        <v>109</v>
      </c>
      <c r="E88" s="41">
        <v>0</v>
      </c>
      <c r="F88" s="44"/>
      <c r="G88" s="34"/>
      <c r="H88" s="35"/>
      <c r="I88" s="36"/>
      <c r="J88" s="37"/>
      <c r="K88" s="76"/>
      <c r="L88" s="72"/>
      <c r="M88" s="72"/>
      <c r="N88" s="72"/>
      <c r="O88" s="25"/>
      <c r="P88" s="26"/>
    </row>
    <row r="89" spans="1:16" ht="9" customHeight="1" x14ac:dyDescent="0.2">
      <c r="A89" s="5"/>
      <c r="B89" s="17"/>
      <c r="C89" s="78"/>
      <c r="D89" s="120"/>
      <c r="E89" s="121"/>
      <c r="F89" s="121"/>
      <c r="G89" s="81"/>
      <c r="H89" s="35"/>
      <c r="I89" s="36"/>
      <c r="J89" s="37"/>
      <c r="K89" s="76"/>
      <c r="L89" s="72"/>
      <c r="M89" s="72"/>
      <c r="N89" s="72"/>
      <c r="O89" s="25"/>
      <c r="P89" s="26"/>
    </row>
    <row r="90" spans="1:16" ht="11" customHeight="1" x14ac:dyDescent="0.2">
      <c r="A90" s="5"/>
      <c r="B90" s="82"/>
      <c r="C90" s="83"/>
      <c r="D90" s="122"/>
      <c r="E90" s="83"/>
      <c r="F90" s="83"/>
      <c r="G90" s="83"/>
      <c r="H90" s="86"/>
      <c r="I90" s="36"/>
      <c r="J90" s="123"/>
      <c r="K90" s="91"/>
      <c r="L90" s="88"/>
      <c r="M90" s="88"/>
      <c r="N90" s="88"/>
      <c r="O90" s="89"/>
      <c r="P90" s="26"/>
    </row>
    <row r="91" spans="1:16" ht="11" customHeight="1" x14ac:dyDescent="0.2">
      <c r="A91" s="5"/>
      <c r="H91" s="36"/>
      <c r="I91" s="36"/>
      <c r="J91" s="36"/>
      <c r="K91" s="36"/>
      <c r="M91" s="92"/>
      <c r="N91" s="92"/>
      <c r="P91" s="26"/>
    </row>
    <row r="92" spans="1:16" ht="9" customHeight="1" x14ac:dyDescent="0.2">
      <c r="A92" s="5"/>
      <c r="B92" s="93"/>
      <c r="C92" s="94"/>
      <c r="D92" s="125"/>
      <c r="E92" s="94"/>
      <c r="F92" s="94"/>
      <c r="G92" s="94"/>
      <c r="H92" s="97"/>
      <c r="I92" s="36"/>
      <c r="J92" s="98"/>
      <c r="K92" s="99"/>
      <c r="L92" s="100"/>
      <c r="M92" s="100"/>
      <c r="N92" s="100"/>
      <c r="O92" s="101"/>
      <c r="P92" s="26"/>
    </row>
    <row r="93" spans="1:16" x14ac:dyDescent="0.2">
      <c r="A93" s="5"/>
      <c r="B93" s="17"/>
      <c r="C93" s="126"/>
      <c r="D93" s="127" t="s">
        <v>110</v>
      </c>
      <c r="E93" s="128"/>
      <c r="F93" s="129"/>
      <c r="G93" s="130">
        <f>SUM(G10:G89)</f>
        <v>143229913.35999998</v>
      </c>
      <c r="H93" s="35"/>
      <c r="I93" s="36"/>
      <c r="J93" s="37"/>
      <c r="K93" s="131"/>
      <c r="L93" s="132" t="s">
        <v>111</v>
      </c>
      <c r="M93" s="128"/>
      <c r="N93" s="130">
        <f>SUM(N10:N89)</f>
        <v>72470451.359999999</v>
      </c>
      <c r="O93" s="25"/>
      <c r="P93" s="26"/>
    </row>
    <row r="94" spans="1:16" ht="8" customHeight="1" x14ac:dyDescent="0.2">
      <c r="A94" s="5"/>
      <c r="B94" s="82"/>
      <c r="C94" s="83"/>
      <c r="D94" s="133"/>
      <c r="E94" s="134"/>
      <c r="F94" s="134"/>
      <c r="G94" s="135"/>
      <c r="H94" s="86"/>
      <c r="I94" s="36"/>
      <c r="J94" s="123"/>
      <c r="K94" s="91"/>
      <c r="L94" s="88"/>
      <c r="M94" s="88"/>
      <c r="N94" s="88"/>
      <c r="O94" s="89"/>
      <c r="P94" s="26"/>
    </row>
    <row r="95" spans="1:16" ht="61" customHeight="1" x14ac:dyDescent="0.2">
      <c r="A95" s="5"/>
      <c r="D95" s="136"/>
      <c r="E95" s="137"/>
      <c r="F95" s="137"/>
      <c r="G95" s="138"/>
      <c r="H95" s="36"/>
      <c r="I95" s="36"/>
      <c r="J95" s="36"/>
      <c r="K95" s="36"/>
      <c r="M95" s="92"/>
      <c r="N95" s="92"/>
      <c r="P95" s="26"/>
    </row>
    <row r="96" spans="1:16" x14ac:dyDescent="0.2">
      <c r="A96" s="5"/>
      <c r="B96" s="93"/>
      <c r="C96" s="94"/>
      <c r="D96" s="125"/>
      <c r="E96" s="96"/>
      <c r="F96" s="96"/>
      <c r="G96" s="94"/>
      <c r="H96" s="139"/>
      <c r="I96" s="138"/>
      <c r="J96" s="140"/>
      <c r="K96" s="99"/>
      <c r="L96" s="100"/>
      <c r="M96" s="100"/>
      <c r="N96" s="100"/>
      <c r="O96" s="101"/>
      <c r="P96" s="26"/>
    </row>
    <row r="97" spans="1:17" x14ac:dyDescent="0.2">
      <c r="A97" s="5"/>
      <c r="B97" s="17"/>
      <c r="C97" s="102"/>
      <c r="D97" s="141"/>
      <c r="E97" s="104"/>
      <c r="F97" s="104"/>
      <c r="G97" s="142"/>
      <c r="H97" s="21"/>
      <c r="J97" s="22"/>
      <c r="K97" s="106"/>
      <c r="L97" s="107"/>
      <c r="M97" s="107"/>
      <c r="N97" s="108"/>
      <c r="O97" s="25"/>
      <c r="P97" s="26"/>
    </row>
    <row r="98" spans="1:17" x14ac:dyDescent="0.2">
      <c r="A98" s="5"/>
      <c r="B98" s="17"/>
      <c r="C98" s="18"/>
      <c r="D98" s="199" t="s">
        <v>112</v>
      </c>
      <c r="E98" s="52"/>
      <c r="F98" s="52"/>
      <c r="G98" s="20">
        <f>SUM(E100:E108)</f>
        <v>36187315.750000007</v>
      </c>
      <c r="H98" s="21"/>
      <c r="J98" s="22"/>
      <c r="K98" s="57"/>
      <c r="L98" s="143" t="s">
        <v>113</v>
      </c>
      <c r="M98" s="63"/>
      <c r="N98" s="20">
        <f>SUM(M100:M104)</f>
        <v>35905254.789999999</v>
      </c>
      <c r="O98" s="25"/>
      <c r="P98" s="26"/>
    </row>
    <row r="99" spans="1:17" x14ac:dyDescent="0.2">
      <c r="A99" s="5"/>
      <c r="B99" s="17"/>
      <c r="C99" s="18"/>
      <c r="D99" s="67"/>
      <c r="E99" s="144"/>
      <c r="F99" s="144"/>
      <c r="G99" s="34"/>
      <c r="H99" s="21"/>
      <c r="J99" s="22"/>
      <c r="K99" s="57"/>
      <c r="L99" s="145"/>
      <c r="M99" s="55"/>
      <c r="N99" s="30"/>
      <c r="O99" s="25"/>
      <c r="P99" s="26"/>
    </row>
    <row r="100" spans="1:17" x14ac:dyDescent="0.2">
      <c r="A100" s="5"/>
      <c r="B100" s="17"/>
      <c r="C100" s="18"/>
      <c r="D100" s="200" t="s">
        <v>114</v>
      </c>
      <c r="E100" s="41">
        <f>42429444.16-19701702.99</f>
        <v>22727741.169999998</v>
      </c>
      <c r="F100" s="39"/>
      <c r="G100" s="43"/>
      <c r="H100" s="21"/>
      <c r="J100" s="22"/>
      <c r="K100" s="57"/>
      <c r="L100" s="29" t="s">
        <v>115</v>
      </c>
      <c r="M100" s="41">
        <v>0</v>
      </c>
      <c r="N100" s="53"/>
      <c r="O100" s="25"/>
      <c r="P100" s="26"/>
    </row>
    <row r="101" spans="1:17" x14ac:dyDescent="0.2">
      <c r="A101" s="5"/>
      <c r="B101" s="17"/>
      <c r="C101" s="18"/>
      <c r="D101" s="200" t="s">
        <v>116</v>
      </c>
      <c r="E101" s="42">
        <f>1904541.74-883982.46</f>
        <v>1020559.28</v>
      </c>
      <c r="F101" s="39"/>
      <c r="G101" s="34"/>
      <c r="H101" s="21"/>
      <c r="J101" s="22"/>
      <c r="K101" s="57"/>
      <c r="L101" s="29" t="s">
        <v>117</v>
      </c>
      <c r="M101" s="41">
        <f>39020382.58-19510191.29</f>
        <v>19510191.289999999</v>
      </c>
      <c r="N101" s="53"/>
      <c r="O101" s="25"/>
      <c r="P101" s="26"/>
    </row>
    <row r="102" spans="1:17" x14ac:dyDescent="0.2">
      <c r="A102" s="5"/>
      <c r="B102" s="17"/>
      <c r="C102" s="18"/>
      <c r="D102" s="200" t="s">
        <v>118</v>
      </c>
      <c r="E102" s="42">
        <f>4751860.92-2254272.09</f>
        <v>2497588.83</v>
      </c>
      <c r="F102" s="39"/>
      <c r="G102" s="34"/>
      <c r="H102" s="21"/>
      <c r="J102" s="22"/>
      <c r="K102" s="57"/>
      <c r="L102" s="29" t="s">
        <v>37</v>
      </c>
      <c r="M102" s="41">
        <f>76706.47-37469.9</f>
        <v>39236.57</v>
      </c>
      <c r="N102" s="53"/>
      <c r="O102" s="25"/>
      <c r="P102" s="26"/>
    </row>
    <row r="103" spans="1:17" x14ac:dyDescent="0.2">
      <c r="A103" s="5"/>
      <c r="B103" s="17"/>
      <c r="C103" s="18"/>
      <c r="D103" s="200" t="s">
        <v>119</v>
      </c>
      <c r="E103" s="41">
        <f>1103098.64-612253.79</f>
        <v>490844.84999999986</v>
      </c>
      <c r="F103" s="39"/>
      <c r="G103" s="34"/>
      <c r="H103" s="21"/>
      <c r="J103" s="22"/>
      <c r="K103" s="57"/>
      <c r="L103" s="146" t="s">
        <v>120</v>
      </c>
      <c r="M103" s="147">
        <f>25766694.02-9410867.09</f>
        <v>16355826.93</v>
      </c>
      <c r="N103" s="30"/>
      <c r="O103" s="25"/>
      <c r="P103" s="26"/>
    </row>
    <row r="104" spans="1:17" x14ac:dyDescent="0.2">
      <c r="A104" s="5"/>
      <c r="B104" s="17"/>
      <c r="C104" s="18"/>
      <c r="D104" s="42" t="s">
        <v>121</v>
      </c>
      <c r="E104" s="41">
        <f>9203081.96-2471688.65</f>
        <v>6731393.3100000005</v>
      </c>
      <c r="F104" s="39"/>
      <c r="G104" s="34"/>
      <c r="H104" s="21"/>
      <c r="J104" s="22"/>
      <c r="K104" s="57"/>
      <c r="L104" s="148"/>
      <c r="M104" s="149"/>
      <c r="N104" s="30"/>
      <c r="O104" s="25"/>
      <c r="P104" s="26"/>
    </row>
    <row r="105" spans="1:17" x14ac:dyDescent="0.2">
      <c r="A105" s="5"/>
      <c r="B105" s="17"/>
      <c r="C105" s="18"/>
      <c r="D105" s="29" t="s">
        <v>122</v>
      </c>
      <c r="E105" s="41">
        <f>1071808.22-753060.87</f>
        <v>318747.34999999998</v>
      </c>
      <c r="F105" s="39"/>
      <c r="G105" s="34"/>
      <c r="H105" s="21"/>
      <c r="J105" s="22"/>
      <c r="K105" s="150"/>
      <c r="L105" s="73"/>
      <c r="M105" s="73"/>
      <c r="N105" s="58"/>
      <c r="O105" s="25"/>
      <c r="P105" s="26"/>
    </row>
    <row r="106" spans="1:17" x14ac:dyDescent="0.2">
      <c r="A106" s="5"/>
      <c r="B106" s="17"/>
      <c r="C106" s="18"/>
      <c r="D106" s="200" t="s">
        <v>24</v>
      </c>
      <c r="E106" s="41">
        <f>969398.02-448067.87</f>
        <v>521330.15</v>
      </c>
      <c r="F106" s="39"/>
      <c r="G106" s="34"/>
      <c r="H106" s="21"/>
      <c r="J106" s="22"/>
      <c r="K106" s="72"/>
      <c r="L106" s="72"/>
      <c r="M106" s="72"/>
      <c r="N106" s="72"/>
      <c r="O106" s="25"/>
      <c r="P106" s="26"/>
    </row>
    <row r="107" spans="1:17" x14ac:dyDescent="0.2">
      <c r="A107" s="5"/>
      <c r="B107" s="17"/>
      <c r="C107" s="18"/>
      <c r="D107" s="200" t="s">
        <v>123</v>
      </c>
      <c r="E107" s="41">
        <v>508000</v>
      </c>
      <c r="F107" s="39"/>
      <c r="G107" s="34"/>
      <c r="H107" s="21"/>
      <c r="J107" s="22"/>
      <c r="K107" s="72"/>
      <c r="L107" s="72"/>
      <c r="M107" s="72"/>
      <c r="N107" s="72"/>
      <c r="O107" s="25"/>
      <c r="P107" s="26"/>
    </row>
    <row r="108" spans="1:17" x14ac:dyDescent="0.2">
      <c r="A108" s="5"/>
      <c r="B108" s="17"/>
      <c r="C108" s="18"/>
      <c r="D108" s="46" t="s">
        <v>124</v>
      </c>
      <c r="E108" s="42">
        <f>3035364.1-1664253.29</f>
        <v>1371110.81</v>
      </c>
      <c r="F108" s="44"/>
      <c r="G108" s="34"/>
      <c r="H108" s="21"/>
      <c r="J108" s="22"/>
      <c r="K108" s="72"/>
      <c r="L108" s="72"/>
      <c r="M108" s="72"/>
      <c r="N108" s="72"/>
      <c r="O108" s="25"/>
      <c r="P108" s="26"/>
    </row>
    <row r="109" spans="1:17" x14ac:dyDescent="0.2">
      <c r="A109" s="151"/>
      <c r="B109" s="17"/>
      <c r="C109" s="152"/>
      <c r="D109" s="132" t="s">
        <v>125</v>
      </c>
      <c r="E109" s="128"/>
      <c r="F109" s="129"/>
      <c r="G109" s="130">
        <f>SUM(E100:E108)</f>
        <v>36187315.750000007</v>
      </c>
      <c r="H109" s="153"/>
      <c r="I109" s="138"/>
      <c r="J109" s="154"/>
      <c r="K109" s="155"/>
      <c r="L109" s="156" t="s">
        <v>126</v>
      </c>
      <c r="M109" s="156"/>
      <c r="N109" s="130">
        <f>SUM(M100:M104)</f>
        <v>35905254.789999999</v>
      </c>
      <c r="O109" s="25"/>
      <c r="P109" s="26"/>
      <c r="Q109" s="54"/>
    </row>
    <row r="110" spans="1:17" ht="8" customHeight="1" x14ac:dyDescent="0.2">
      <c r="A110" s="158"/>
      <c r="B110" s="82"/>
      <c r="C110" s="83"/>
      <c r="D110" s="122"/>
      <c r="E110" s="85"/>
      <c r="F110" s="85"/>
      <c r="G110" s="83"/>
      <c r="H110" s="159"/>
      <c r="J110" s="87"/>
      <c r="K110" s="88"/>
      <c r="L110" s="88"/>
      <c r="M110" s="88"/>
      <c r="N110" s="88"/>
      <c r="O110" s="89"/>
      <c r="P110" s="26"/>
    </row>
    <row r="111" spans="1:17" x14ac:dyDescent="0.2">
      <c r="A111" s="158"/>
      <c r="E111" s="36"/>
      <c r="F111" s="36"/>
      <c r="M111" s="92"/>
      <c r="N111" s="92"/>
      <c r="P111" s="26"/>
    </row>
    <row r="112" spans="1:17" x14ac:dyDescent="0.2">
      <c r="A112" s="158"/>
      <c r="B112" s="93"/>
      <c r="C112" s="94"/>
      <c r="D112" s="125"/>
      <c r="E112" s="96"/>
      <c r="F112" s="96"/>
      <c r="G112" s="94"/>
      <c r="H112" s="160"/>
      <c r="J112" s="161"/>
      <c r="K112" s="100"/>
      <c r="L112" s="100"/>
      <c r="M112" s="100"/>
      <c r="N112" s="100"/>
      <c r="O112" s="101"/>
      <c r="P112" s="26"/>
    </row>
    <row r="113" spans="1:19" x14ac:dyDescent="0.2">
      <c r="A113" s="158"/>
      <c r="B113" s="17"/>
      <c r="C113" s="102"/>
      <c r="D113" s="141"/>
      <c r="E113" s="104"/>
      <c r="F113" s="104"/>
      <c r="G113" s="142"/>
      <c r="H113" s="21"/>
      <c r="J113" s="22"/>
      <c r="K113" s="162"/>
      <c r="L113" s="107"/>
      <c r="M113" s="107"/>
      <c r="N113" s="108"/>
      <c r="O113" s="25"/>
      <c r="P113" s="26"/>
    </row>
    <row r="114" spans="1:19" x14ac:dyDescent="0.2">
      <c r="A114" s="158"/>
      <c r="B114" s="17"/>
      <c r="C114" s="18"/>
      <c r="D114" s="205" t="s">
        <v>127</v>
      </c>
      <c r="E114" s="109"/>
      <c r="F114" s="109"/>
      <c r="G114" s="163">
        <f>SUM(E116:E125)</f>
        <v>77098170.209999979</v>
      </c>
      <c r="H114" s="21"/>
      <c r="J114" s="22"/>
      <c r="K114" s="57"/>
      <c r="L114" s="164" t="s">
        <v>128</v>
      </c>
      <c r="M114" s="165"/>
      <c r="N114" s="20">
        <f>SUM(M116:M123)</f>
        <v>74525458.909999996</v>
      </c>
      <c r="O114" s="25"/>
      <c r="P114" s="26"/>
    </row>
    <row r="115" spans="1:19" x14ac:dyDescent="0.2">
      <c r="A115" s="158"/>
      <c r="B115" s="17"/>
      <c r="C115" s="18"/>
      <c r="D115" s="75"/>
      <c r="E115" s="39"/>
      <c r="F115" s="39"/>
      <c r="G115" s="34"/>
      <c r="H115" s="21"/>
      <c r="J115" s="22"/>
      <c r="K115" s="57"/>
      <c r="L115" s="51"/>
      <c r="M115" s="55"/>
      <c r="N115" s="166"/>
      <c r="O115" s="25"/>
      <c r="P115" s="26"/>
    </row>
    <row r="116" spans="1:19" x14ac:dyDescent="0.2">
      <c r="A116" s="158"/>
      <c r="B116" s="17"/>
      <c r="C116" s="18"/>
      <c r="D116" s="201" t="s">
        <v>114</v>
      </c>
      <c r="E116" s="41">
        <f>43206021.48-20340815.6</f>
        <v>22865205.879999995</v>
      </c>
      <c r="F116" s="39"/>
      <c r="G116" s="43"/>
      <c r="H116" s="35"/>
      <c r="I116" s="36"/>
      <c r="J116" s="37"/>
      <c r="K116" s="57"/>
      <c r="L116" s="29" t="s">
        <v>139</v>
      </c>
      <c r="M116" s="41">
        <v>0</v>
      </c>
      <c r="N116" s="53"/>
      <c r="O116" s="25"/>
      <c r="P116" s="26"/>
      <c r="S116" s="54"/>
    </row>
    <row r="117" spans="1:19" x14ac:dyDescent="0.2">
      <c r="A117" s="158"/>
      <c r="B117" s="17"/>
      <c r="C117" s="18"/>
      <c r="D117" s="201" t="s">
        <v>102</v>
      </c>
      <c r="E117" s="41">
        <f>2651192.94-1317215.85</f>
        <v>1333977.0899999999</v>
      </c>
      <c r="F117" s="39"/>
      <c r="G117" s="43"/>
      <c r="H117" s="35"/>
      <c r="I117" s="36"/>
      <c r="J117" s="37"/>
      <c r="K117" s="57"/>
      <c r="L117" s="29" t="s">
        <v>117</v>
      </c>
      <c r="M117" s="41">
        <f>58530573.86</f>
        <v>58530573.859999999</v>
      </c>
      <c r="N117" s="53"/>
      <c r="O117" s="25"/>
      <c r="P117" s="26"/>
    </row>
    <row r="118" spans="1:19" x14ac:dyDescent="0.2">
      <c r="A118" s="158"/>
      <c r="B118" s="17"/>
      <c r="C118" s="18"/>
      <c r="D118" s="202" t="s">
        <v>129</v>
      </c>
      <c r="E118" s="41">
        <f>80513089.36-33510916.85</f>
        <v>47002172.509999998</v>
      </c>
      <c r="F118" s="39"/>
      <c r="G118" s="34"/>
      <c r="H118" s="35"/>
      <c r="I118" s="36"/>
      <c r="J118" s="37"/>
      <c r="K118" s="57"/>
      <c r="L118" s="29" t="s">
        <v>130</v>
      </c>
      <c r="M118" s="41">
        <f>3519624.45-868410.74</f>
        <v>2651213.71</v>
      </c>
      <c r="N118" s="53"/>
      <c r="O118" s="25"/>
      <c r="P118" s="26"/>
    </row>
    <row r="119" spans="1:19" x14ac:dyDescent="0.2">
      <c r="A119" s="158"/>
      <c r="B119" s="17"/>
      <c r="C119" s="18"/>
      <c r="D119" s="202" t="s">
        <v>121</v>
      </c>
      <c r="E119" s="42">
        <f>4500738.16-2071227.03</f>
        <v>2429511.13</v>
      </c>
      <c r="F119" s="39"/>
      <c r="G119" s="34"/>
      <c r="H119" s="35"/>
      <c r="I119" s="36"/>
      <c r="J119" s="37"/>
      <c r="K119" s="57"/>
      <c r="L119" s="29" t="s">
        <v>131</v>
      </c>
      <c r="M119" s="41">
        <f>7319580.84-3046655.84</f>
        <v>4272925</v>
      </c>
      <c r="N119" s="30"/>
      <c r="O119" s="25"/>
      <c r="P119" s="26"/>
    </row>
    <row r="120" spans="1:19" x14ac:dyDescent="0.2">
      <c r="A120" s="158"/>
      <c r="B120" s="17"/>
      <c r="C120" s="18"/>
      <c r="D120" s="203" t="s">
        <v>132</v>
      </c>
      <c r="E120" s="41">
        <f>1005141.1-499552.56</f>
        <v>505588.54</v>
      </c>
      <c r="F120" s="39"/>
      <c r="G120" s="34"/>
      <c r="H120" s="35"/>
      <c r="I120" s="36"/>
      <c r="J120" s="37"/>
      <c r="K120" s="57"/>
      <c r="L120" s="29" t="s">
        <v>133</v>
      </c>
      <c r="M120" s="41">
        <f>210850-47900</f>
        <v>162950</v>
      </c>
      <c r="N120" s="166"/>
      <c r="O120" s="25"/>
      <c r="P120" s="26"/>
      <c r="S120" s="54"/>
    </row>
    <row r="121" spans="1:19" x14ac:dyDescent="0.2">
      <c r="A121" s="158"/>
      <c r="B121" s="17"/>
      <c r="C121" s="167"/>
      <c r="D121" s="203" t="s">
        <v>119</v>
      </c>
      <c r="E121" s="168">
        <f>1103098.65-612253.79</f>
        <v>490844.85999999987</v>
      </c>
      <c r="F121" s="169"/>
      <c r="G121" s="34"/>
      <c r="H121" s="35"/>
      <c r="I121" s="36"/>
      <c r="J121" s="37"/>
      <c r="K121" s="57"/>
      <c r="L121" s="29" t="s">
        <v>37</v>
      </c>
      <c r="M121" s="41">
        <f>62061.41-36064.09</f>
        <v>25997.320000000007</v>
      </c>
      <c r="N121" s="166"/>
      <c r="O121" s="25"/>
      <c r="P121" s="26"/>
      <c r="S121" s="54"/>
    </row>
    <row r="122" spans="1:19" x14ac:dyDescent="0.2">
      <c r="A122" s="158"/>
      <c r="B122" s="17"/>
      <c r="C122" s="167"/>
      <c r="D122" s="203" t="s">
        <v>24</v>
      </c>
      <c r="E122" s="168">
        <f>815737.56-355374.35</f>
        <v>460363.21000000008</v>
      </c>
      <c r="F122" s="169"/>
      <c r="G122" s="34"/>
      <c r="H122" s="35"/>
      <c r="I122" s="36"/>
      <c r="J122" s="37"/>
      <c r="K122" s="57"/>
      <c r="L122" s="29" t="s">
        <v>134</v>
      </c>
      <c r="M122" s="41">
        <f>53525.39-22068.88</f>
        <v>31456.51</v>
      </c>
      <c r="N122" s="166"/>
      <c r="O122" s="25"/>
      <c r="P122" s="26"/>
      <c r="S122" s="54"/>
    </row>
    <row r="123" spans="1:19" x14ac:dyDescent="0.2">
      <c r="A123" s="158"/>
      <c r="B123" s="17"/>
      <c r="C123" s="167"/>
      <c r="D123" s="203" t="s">
        <v>135</v>
      </c>
      <c r="E123" s="168">
        <f>254000-122000</f>
        <v>132000</v>
      </c>
      <c r="F123" s="169"/>
      <c r="G123" s="34"/>
      <c r="H123" s="35"/>
      <c r="I123" s="36"/>
      <c r="J123" s="37"/>
      <c r="K123" s="170"/>
      <c r="L123" s="171" t="s">
        <v>136</v>
      </c>
      <c r="M123" s="172">
        <f>14834448.22-5984105.71</f>
        <v>8850342.5100000016</v>
      </c>
      <c r="N123" s="173"/>
      <c r="O123" s="25"/>
      <c r="P123" s="26"/>
      <c r="S123" s="54"/>
    </row>
    <row r="124" spans="1:19" x14ac:dyDescent="0.2">
      <c r="A124" s="158"/>
      <c r="B124" s="17"/>
      <c r="C124" s="167"/>
      <c r="D124" s="204" t="s">
        <v>140</v>
      </c>
      <c r="E124" s="174">
        <f>3392234.25-1513727.26</f>
        <v>1878506.99</v>
      </c>
      <c r="F124" s="169"/>
      <c r="G124" s="34"/>
      <c r="H124" s="35"/>
      <c r="I124" s="36"/>
      <c r="J124" s="37"/>
      <c r="K124" s="150"/>
      <c r="L124" s="60"/>
      <c r="M124" s="60"/>
      <c r="N124" s="175"/>
      <c r="O124" s="25"/>
      <c r="P124" s="26"/>
      <c r="S124" s="54"/>
    </row>
    <row r="125" spans="1:19" x14ac:dyDescent="0.2">
      <c r="A125" s="158"/>
      <c r="B125" s="17"/>
      <c r="C125" s="18"/>
      <c r="D125" s="141"/>
      <c r="E125" s="176"/>
      <c r="F125" s="39"/>
      <c r="G125" s="34"/>
      <c r="H125" s="35"/>
      <c r="I125" s="36"/>
      <c r="J125" s="37"/>
      <c r="K125" s="72"/>
      <c r="L125" s="76"/>
      <c r="M125" s="72"/>
      <c r="N125" s="177"/>
      <c r="O125" s="25"/>
      <c r="P125" s="26"/>
      <c r="S125" s="54"/>
    </row>
    <row r="126" spans="1:19" x14ac:dyDescent="0.2">
      <c r="A126" s="158"/>
      <c r="B126" s="17"/>
      <c r="C126" s="178"/>
      <c r="D126" s="156" t="s">
        <v>137</v>
      </c>
      <c r="E126" s="129"/>
      <c r="F126" s="129"/>
      <c r="G126" s="130">
        <f>SUM(E116:E125)</f>
        <v>77098170.209999979</v>
      </c>
      <c r="H126" s="179"/>
      <c r="I126" s="137"/>
      <c r="J126" s="180"/>
      <c r="K126" s="155"/>
      <c r="L126" s="129" t="s">
        <v>138</v>
      </c>
      <c r="M126" s="181"/>
      <c r="N126" s="198">
        <f>SUM(M116:M123)</f>
        <v>74525458.909999996</v>
      </c>
      <c r="O126" s="25"/>
      <c r="P126" s="26"/>
    </row>
    <row r="127" spans="1:19" x14ac:dyDescent="0.2">
      <c r="A127" s="158"/>
      <c r="B127" s="17"/>
      <c r="C127" s="157"/>
      <c r="D127" s="182"/>
      <c r="E127" s="183"/>
      <c r="F127" s="183"/>
      <c r="G127" s="183"/>
      <c r="H127" s="35"/>
      <c r="I127" s="36"/>
      <c r="J127" s="37"/>
      <c r="K127" s="72"/>
      <c r="L127" s="72"/>
      <c r="M127" s="72"/>
      <c r="N127" s="72"/>
      <c r="O127" s="25"/>
      <c r="P127" s="26"/>
    </row>
    <row r="128" spans="1:19" x14ac:dyDescent="0.2">
      <c r="A128" s="158"/>
      <c r="B128" s="82"/>
      <c r="C128" s="83"/>
      <c r="D128" s="122"/>
      <c r="E128" s="83"/>
      <c r="F128" s="83"/>
      <c r="G128" s="85"/>
      <c r="H128" s="86"/>
      <c r="I128" s="36"/>
      <c r="J128" s="123"/>
      <c r="K128" s="91"/>
      <c r="L128" s="88"/>
      <c r="M128" s="88"/>
      <c r="N128" s="88"/>
      <c r="O128" s="89"/>
      <c r="P128" s="26"/>
    </row>
    <row r="129" spans="1:16" ht="16" thickBot="1" x14ac:dyDescent="0.25">
      <c r="A129" s="184"/>
      <c r="B129" s="185"/>
      <c r="C129" s="185"/>
      <c r="D129" s="186"/>
      <c r="E129" s="185"/>
      <c r="F129" s="185"/>
      <c r="G129" s="187"/>
      <c r="H129" s="187"/>
      <c r="I129" s="187"/>
      <c r="J129" s="187"/>
      <c r="K129" s="187"/>
      <c r="L129" s="188"/>
      <c r="M129" s="188"/>
      <c r="N129" s="185"/>
      <c r="O129" s="189"/>
      <c r="P129" s="190"/>
    </row>
    <row r="130" spans="1:16" x14ac:dyDescent="0.2">
      <c r="A130" s="92"/>
      <c r="H130" s="36"/>
      <c r="I130" s="36"/>
      <c r="J130" s="36"/>
      <c r="K130" s="36"/>
      <c r="L130" s="191"/>
      <c r="M130" s="191"/>
      <c r="N130" s="92"/>
    </row>
    <row r="131" spans="1:16" x14ac:dyDescent="0.2">
      <c r="E131" s="36"/>
      <c r="F131" s="36"/>
      <c r="H131" s="36"/>
      <c r="I131" s="36"/>
      <c r="J131" s="36"/>
      <c r="K131" s="36"/>
      <c r="L131" s="191"/>
      <c r="M131" s="191"/>
      <c r="N131" s="92"/>
    </row>
    <row r="132" spans="1:16" x14ac:dyDescent="0.2">
      <c r="A132" s="92"/>
      <c r="E132" s="36"/>
      <c r="G132" s="36"/>
    </row>
    <row r="133" spans="1:16" x14ac:dyDescent="0.2">
      <c r="C133" s="36"/>
      <c r="D133" s="192"/>
    </row>
    <row r="134" spans="1:16" x14ac:dyDescent="0.2">
      <c r="E134" s="36"/>
    </row>
    <row r="135" spans="1:16" x14ac:dyDescent="0.2">
      <c r="C135" s="36"/>
      <c r="D135" s="192"/>
    </row>
    <row r="136" spans="1:16" x14ac:dyDescent="0.2">
      <c r="A136" s="92"/>
      <c r="E136" s="36"/>
      <c r="F136" s="36"/>
    </row>
    <row r="137" spans="1:16" x14ac:dyDescent="0.2">
      <c r="G137" s="36"/>
    </row>
    <row r="138" spans="1:16" x14ac:dyDescent="0.2">
      <c r="F138" s="36"/>
    </row>
    <row r="139" spans="1:16" x14ac:dyDescent="0.2">
      <c r="C139" s="36"/>
      <c r="D139" s="192"/>
      <c r="G139" s="36"/>
    </row>
    <row r="140" spans="1:16" x14ac:dyDescent="0.2">
      <c r="E140" s="36"/>
      <c r="F140" s="36"/>
    </row>
    <row r="141" spans="1:16" x14ac:dyDescent="0.2">
      <c r="G141" s="36"/>
    </row>
    <row r="144" spans="1:16" x14ac:dyDescent="0.2">
      <c r="F144" s="36"/>
    </row>
    <row r="145" spans="1:7" x14ac:dyDescent="0.2">
      <c r="G145" s="36"/>
    </row>
    <row r="147" spans="1:7" x14ac:dyDescent="0.2">
      <c r="E147" s="36"/>
    </row>
    <row r="154" spans="1:7" x14ac:dyDescent="0.2">
      <c r="E154" s="36"/>
    </row>
    <row r="156" spans="1:7" x14ac:dyDescent="0.2">
      <c r="A156" s="92"/>
    </row>
    <row r="157" spans="1:7" x14ac:dyDescent="0.2">
      <c r="A157" s="92"/>
      <c r="E157" s="36"/>
    </row>
    <row r="158" spans="1:7" x14ac:dyDescent="0.2">
      <c r="A158" s="92"/>
    </row>
    <row r="159" spans="1:7" x14ac:dyDescent="0.2">
      <c r="A159" s="92"/>
      <c r="C159" s="36"/>
      <c r="D159" s="192"/>
    </row>
    <row r="160" spans="1:7" x14ac:dyDescent="0.2">
      <c r="A160" s="92"/>
      <c r="C160" s="36"/>
      <c r="D160" s="192"/>
      <c r="E160" s="36"/>
    </row>
    <row r="161" spans="1:7" x14ac:dyDescent="0.2">
      <c r="A161" s="92"/>
      <c r="C161" s="36"/>
      <c r="D161" s="192"/>
    </row>
    <row r="162" spans="1:7" x14ac:dyDescent="0.2">
      <c r="A162" s="92"/>
      <c r="C162" s="36"/>
      <c r="D162" s="192"/>
    </row>
    <row r="163" spans="1:7" x14ac:dyDescent="0.2">
      <c r="A163" s="92"/>
      <c r="C163" s="36"/>
      <c r="D163" s="192"/>
      <c r="E163" s="138"/>
    </row>
    <row r="164" spans="1:7" x14ac:dyDescent="0.2">
      <c r="A164" s="92"/>
      <c r="C164" s="36"/>
      <c r="D164" s="192"/>
      <c r="F164" s="36"/>
    </row>
    <row r="165" spans="1:7" x14ac:dyDescent="0.2">
      <c r="A165" s="92"/>
      <c r="C165" s="36"/>
      <c r="D165" s="192"/>
      <c r="F165" s="36"/>
      <c r="G165" s="36"/>
    </row>
    <row r="166" spans="1:7" x14ac:dyDescent="0.2">
      <c r="A166" s="92"/>
      <c r="C166" s="36"/>
      <c r="D166" s="192"/>
      <c r="F166" s="36"/>
      <c r="G166" s="36"/>
    </row>
    <row r="167" spans="1:7" x14ac:dyDescent="0.2">
      <c r="A167" s="92"/>
      <c r="C167" s="36"/>
      <c r="D167" s="192"/>
      <c r="F167" s="36"/>
      <c r="G167" s="36"/>
    </row>
    <row r="168" spans="1:7" x14ac:dyDescent="0.2">
      <c r="A168" s="92"/>
      <c r="C168" s="36"/>
      <c r="D168" s="192"/>
      <c r="F168" s="36"/>
      <c r="G168" s="36"/>
    </row>
    <row r="169" spans="1:7" x14ac:dyDescent="0.2">
      <c r="A169" s="92"/>
      <c r="C169" s="36"/>
      <c r="D169" s="192"/>
      <c r="F169" s="36"/>
      <c r="G169" s="36"/>
    </row>
    <row r="170" spans="1:7" x14ac:dyDescent="0.2">
      <c r="A170" s="92"/>
      <c r="C170" s="36"/>
      <c r="D170" s="192"/>
      <c r="F170" s="36"/>
      <c r="G170" s="36"/>
    </row>
    <row r="171" spans="1:7" x14ac:dyDescent="0.2">
      <c r="A171" s="92"/>
      <c r="C171" s="36"/>
      <c r="D171" s="192"/>
      <c r="F171" s="36"/>
      <c r="G171" s="36"/>
    </row>
    <row r="172" spans="1:7" x14ac:dyDescent="0.2">
      <c r="A172" s="92"/>
      <c r="C172" s="36"/>
      <c r="D172" s="192"/>
      <c r="F172" s="36"/>
      <c r="G172" s="36"/>
    </row>
    <row r="173" spans="1:7" x14ac:dyDescent="0.2">
      <c r="A173" s="92"/>
      <c r="C173" s="36"/>
      <c r="D173" s="192"/>
      <c r="E173" s="36"/>
      <c r="F173" s="36"/>
      <c r="G173" s="36"/>
    </row>
    <row r="174" spans="1:7" x14ac:dyDescent="0.2">
      <c r="A174" s="92"/>
      <c r="C174" s="36"/>
      <c r="D174" s="192"/>
      <c r="E174" s="36"/>
      <c r="F174" s="36"/>
      <c r="G174" s="36"/>
    </row>
    <row r="175" spans="1:7" x14ac:dyDescent="0.2">
      <c r="A175" s="92"/>
      <c r="C175" s="36"/>
      <c r="D175" s="192"/>
      <c r="E175" s="36"/>
      <c r="F175" s="36"/>
      <c r="G175" s="36"/>
    </row>
    <row r="176" spans="1:7" x14ac:dyDescent="0.2">
      <c r="A176" s="92"/>
      <c r="C176" s="36"/>
      <c r="D176" s="192"/>
      <c r="F176" s="36"/>
      <c r="G176" s="36"/>
    </row>
    <row r="177" spans="1:7" x14ac:dyDescent="0.2">
      <c r="A177" s="92"/>
      <c r="C177" s="36"/>
      <c r="D177" s="192"/>
      <c r="F177" s="36"/>
      <c r="G177" s="36"/>
    </row>
    <row r="178" spans="1:7" x14ac:dyDescent="0.2">
      <c r="A178" s="92"/>
      <c r="C178" s="36"/>
      <c r="D178" s="192"/>
      <c r="F178" s="36"/>
      <c r="G178" s="36"/>
    </row>
    <row r="179" spans="1:7" x14ac:dyDescent="0.2">
      <c r="A179" s="92"/>
      <c r="C179" s="36"/>
      <c r="D179" s="192"/>
      <c r="F179" s="36"/>
      <c r="G179" s="36"/>
    </row>
    <row r="180" spans="1:7" x14ac:dyDescent="0.2">
      <c r="A180" s="92"/>
      <c r="C180" s="36"/>
      <c r="D180" s="192"/>
      <c r="F180" s="36"/>
      <c r="G180" s="36"/>
    </row>
    <row r="181" spans="1:7" x14ac:dyDescent="0.2">
      <c r="A181" s="92"/>
      <c r="C181" s="36"/>
      <c r="D181" s="192"/>
      <c r="F181" s="36"/>
      <c r="G181" s="36"/>
    </row>
    <row r="182" spans="1:7" x14ac:dyDescent="0.2">
      <c r="A182" s="92"/>
      <c r="C182" s="36"/>
      <c r="D182" s="192"/>
      <c r="F182" s="36"/>
      <c r="G182" s="36"/>
    </row>
    <row r="183" spans="1:7" x14ac:dyDescent="0.2">
      <c r="A183" s="92"/>
      <c r="C183" s="36"/>
      <c r="D183" s="192"/>
      <c r="F183" s="36"/>
      <c r="G183" s="36"/>
    </row>
    <row r="184" spans="1:7" x14ac:dyDescent="0.2">
      <c r="A184" s="92"/>
      <c r="C184" s="36"/>
      <c r="D184" s="192"/>
      <c r="F184" s="36"/>
      <c r="G184" s="36"/>
    </row>
    <row r="185" spans="1:7" x14ac:dyDescent="0.2">
      <c r="A185" s="92"/>
      <c r="C185" s="36"/>
      <c r="D185" s="192"/>
      <c r="F185" s="36"/>
      <c r="G185" s="36"/>
    </row>
    <row r="186" spans="1:7" x14ac:dyDescent="0.2">
      <c r="A186" s="92"/>
      <c r="C186" s="36"/>
      <c r="D186" s="192"/>
      <c r="F186" s="36"/>
      <c r="G186" s="36"/>
    </row>
    <row r="187" spans="1:7" x14ac:dyDescent="0.2">
      <c r="A187" s="92"/>
      <c r="C187" s="36"/>
      <c r="D187" s="192"/>
      <c r="F187" s="36"/>
      <c r="G187" s="36"/>
    </row>
    <row r="188" spans="1:7" x14ac:dyDescent="0.2">
      <c r="A188" s="92"/>
      <c r="C188" s="36"/>
      <c r="D188" s="192"/>
      <c r="F188" s="36"/>
      <c r="G188" s="36"/>
    </row>
    <row r="189" spans="1:7" x14ac:dyDescent="0.2">
      <c r="A189" s="92"/>
      <c r="C189" s="36"/>
      <c r="D189" s="192"/>
      <c r="F189" s="36"/>
      <c r="G189" s="36"/>
    </row>
    <row r="190" spans="1:7" x14ac:dyDescent="0.2">
      <c r="A190" s="92"/>
      <c r="C190" s="36"/>
      <c r="D190" s="192"/>
      <c r="F190" s="36"/>
      <c r="G190" s="36"/>
    </row>
    <row r="191" spans="1:7" x14ac:dyDescent="0.2">
      <c r="A191" s="92"/>
      <c r="C191" s="36"/>
      <c r="D191" s="192"/>
      <c r="F191" s="36"/>
      <c r="G191" s="36"/>
    </row>
    <row r="192" spans="1:7" x14ac:dyDescent="0.2">
      <c r="A192" s="92"/>
      <c r="C192" s="36"/>
      <c r="D192" s="192"/>
      <c r="F192" s="36"/>
      <c r="G192" s="36"/>
    </row>
    <row r="193" spans="1:7" x14ac:dyDescent="0.2">
      <c r="A193" s="92"/>
      <c r="C193" s="36"/>
      <c r="D193" s="192"/>
      <c r="F193" s="36"/>
      <c r="G193" s="36"/>
    </row>
    <row r="194" spans="1:7" x14ac:dyDescent="0.2">
      <c r="A194" s="92"/>
      <c r="C194" s="36"/>
      <c r="D194" s="192"/>
      <c r="F194" s="36"/>
      <c r="G194" s="36"/>
    </row>
    <row r="195" spans="1:7" x14ac:dyDescent="0.2">
      <c r="A195" s="92"/>
      <c r="C195" s="36"/>
      <c r="D195" s="192"/>
      <c r="F195" s="36"/>
      <c r="G195" s="36"/>
    </row>
    <row r="196" spans="1:7" x14ac:dyDescent="0.2">
      <c r="A196" s="92"/>
      <c r="C196" s="36"/>
      <c r="D196" s="192"/>
      <c r="F196" s="36"/>
      <c r="G196" s="36"/>
    </row>
    <row r="197" spans="1:7" x14ac:dyDescent="0.2">
      <c r="A197" s="92"/>
      <c r="C197" s="36"/>
      <c r="D197" s="192"/>
      <c r="F197" s="36"/>
      <c r="G197" s="36"/>
    </row>
    <row r="198" spans="1:7" x14ac:dyDescent="0.2">
      <c r="A198" s="92"/>
      <c r="C198" s="36"/>
      <c r="D198" s="192"/>
      <c r="F198" s="36"/>
      <c r="G198" s="36"/>
    </row>
    <row r="199" spans="1:7" x14ac:dyDescent="0.2">
      <c r="A199" s="92"/>
      <c r="C199" s="36"/>
      <c r="D199" s="192"/>
      <c r="F199" s="36"/>
      <c r="G199" s="36"/>
    </row>
    <row r="200" spans="1:7" x14ac:dyDescent="0.2">
      <c r="A200" s="92"/>
      <c r="C200" s="36"/>
      <c r="D200" s="192"/>
      <c r="F200" s="36"/>
      <c r="G200" s="36"/>
    </row>
    <row r="201" spans="1:7" x14ac:dyDescent="0.2">
      <c r="A201" s="92"/>
      <c r="C201" s="36"/>
      <c r="D201" s="192"/>
      <c r="F201" s="36"/>
      <c r="G201" s="36"/>
    </row>
    <row r="202" spans="1:7" x14ac:dyDescent="0.2">
      <c r="A202" s="92"/>
      <c r="C202" s="36"/>
      <c r="D202" s="192"/>
      <c r="F202" s="36"/>
      <c r="G202" s="36"/>
    </row>
    <row r="203" spans="1:7" x14ac:dyDescent="0.2">
      <c r="A203" s="92"/>
      <c r="C203" s="36"/>
      <c r="D203" s="192"/>
      <c r="F203" s="36"/>
      <c r="G203" s="36"/>
    </row>
    <row r="204" spans="1:7" x14ac:dyDescent="0.2">
      <c r="C204" s="36"/>
      <c r="D204" s="192"/>
      <c r="F204" s="36"/>
      <c r="G204" s="36"/>
    </row>
    <row r="205" spans="1:7" x14ac:dyDescent="0.2">
      <c r="C205" s="36"/>
      <c r="D205" s="192"/>
      <c r="F205" s="36"/>
      <c r="G205" s="36"/>
    </row>
    <row r="206" spans="1:7" x14ac:dyDescent="0.2">
      <c r="C206" s="36"/>
      <c r="D206" s="192"/>
      <c r="F206" s="36"/>
      <c r="G206" s="36"/>
    </row>
    <row r="207" spans="1:7" x14ac:dyDescent="0.2">
      <c r="F207" s="36"/>
      <c r="G207" s="36"/>
    </row>
    <row r="208" spans="1:7" x14ac:dyDescent="0.2">
      <c r="F208" s="36"/>
      <c r="G208" s="36"/>
    </row>
    <row r="209" spans="1:7" x14ac:dyDescent="0.2">
      <c r="F209" s="36"/>
      <c r="G209" s="36"/>
    </row>
    <row r="210" spans="1:7" x14ac:dyDescent="0.2">
      <c r="F210" s="36"/>
      <c r="G210" s="36"/>
    </row>
    <row r="211" spans="1:7" x14ac:dyDescent="0.2">
      <c r="F211" s="36"/>
      <c r="G211" s="36"/>
    </row>
    <row r="212" spans="1:7" x14ac:dyDescent="0.2">
      <c r="G212" s="36"/>
    </row>
    <row r="214" spans="1:7" x14ac:dyDescent="0.2">
      <c r="A214" s="92"/>
    </row>
    <row r="217" spans="1:7" x14ac:dyDescent="0.2">
      <c r="A217" s="92"/>
      <c r="C217" s="36"/>
      <c r="D217" s="192"/>
    </row>
    <row r="220" spans="1:7" x14ac:dyDescent="0.2">
      <c r="C220" s="36"/>
      <c r="D220" s="192"/>
    </row>
    <row r="222" spans="1:7" x14ac:dyDescent="0.2">
      <c r="F222" s="36"/>
    </row>
    <row r="223" spans="1:7" x14ac:dyDescent="0.2">
      <c r="F223" s="36"/>
      <c r="G223" s="36"/>
    </row>
    <row r="225" spans="1:7" x14ac:dyDescent="0.2">
      <c r="F225" s="36"/>
    </row>
    <row r="226" spans="1:7" x14ac:dyDescent="0.2">
      <c r="F226" s="138"/>
      <c r="G226" s="36"/>
    </row>
    <row r="236" spans="1:7" x14ac:dyDescent="0.2">
      <c r="A236" s="92"/>
      <c r="G236" s="36"/>
    </row>
    <row r="237" spans="1:7" x14ac:dyDescent="0.2">
      <c r="A237" s="92"/>
    </row>
    <row r="238" spans="1:7" x14ac:dyDescent="0.2">
      <c r="A238" s="92"/>
    </row>
    <row r="239" spans="1:7" x14ac:dyDescent="0.2">
      <c r="A239" s="92"/>
      <c r="C239" s="36"/>
      <c r="D239" s="192"/>
    </row>
    <row r="240" spans="1:7" x14ac:dyDescent="0.2">
      <c r="A240" s="92"/>
      <c r="C240" s="36"/>
      <c r="D240" s="192"/>
    </row>
    <row r="241" spans="1:7" x14ac:dyDescent="0.2">
      <c r="A241" s="92"/>
      <c r="C241" s="36"/>
      <c r="D241" s="192"/>
    </row>
    <row r="242" spans="1:7" x14ac:dyDescent="0.2">
      <c r="A242" s="92"/>
      <c r="C242" s="36"/>
      <c r="D242" s="192"/>
    </row>
    <row r="243" spans="1:7" x14ac:dyDescent="0.2">
      <c r="A243" s="92"/>
      <c r="C243" s="36"/>
      <c r="D243" s="192"/>
    </row>
    <row r="244" spans="1:7" x14ac:dyDescent="0.2">
      <c r="A244" s="92"/>
      <c r="C244" s="36"/>
      <c r="D244" s="192"/>
    </row>
    <row r="245" spans="1:7" x14ac:dyDescent="0.2">
      <c r="A245" s="92"/>
      <c r="C245" s="36"/>
      <c r="D245" s="192"/>
      <c r="G245" s="36"/>
    </row>
    <row r="246" spans="1:7" x14ac:dyDescent="0.2">
      <c r="A246" s="92"/>
      <c r="C246" s="36"/>
      <c r="D246" s="192"/>
      <c r="G246" s="36"/>
    </row>
    <row r="247" spans="1:7" x14ac:dyDescent="0.2">
      <c r="A247" s="92"/>
      <c r="C247" s="36"/>
      <c r="D247" s="192"/>
      <c r="G247" s="36"/>
    </row>
    <row r="248" spans="1:7" x14ac:dyDescent="0.2">
      <c r="A248" s="92"/>
      <c r="C248" s="36"/>
      <c r="D248" s="192"/>
      <c r="F248" s="36"/>
      <c r="G248" s="36"/>
    </row>
    <row r="249" spans="1:7" x14ac:dyDescent="0.2">
      <c r="A249" s="92"/>
      <c r="C249" s="36"/>
      <c r="D249" s="192"/>
      <c r="F249" s="36"/>
      <c r="G249" s="36"/>
    </row>
    <row r="250" spans="1:7" x14ac:dyDescent="0.2">
      <c r="A250" s="92"/>
      <c r="C250" s="36"/>
      <c r="D250" s="192"/>
      <c r="F250" s="193"/>
      <c r="G250" s="36"/>
    </row>
    <row r="251" spans="1:7" x14ac:dyDescent="0.2">
      <c r="A251" s="92"/>
      <c r="C251" s="36"/>
      <c r="D251" s="192"/>
      <c r="F251" s="193"/>
      <c r="G251" s="36"/>
    </row>
    <row r="252" spans="1:7" x14ac:dyDescent="0.2">
      <c r="C252" s="36"/>
      <c r="D252" s="192"/>
      <c r="F252" s="193"/>
      <c r="G252" s="36"/>
    </row>
    <row r="253" spans="1:7" x14ac:dyDescent="0.2">
      <c r="C253" s="36"/>
      <c r="D253" s="192"/>
      <c r="F253" s="36"/>
      <c r="G253" s="36"/>
    </row>
    <row r="254" spans="1:7" x14ac:dyDescent="0.2">
      <c r="C254" s="36"/>
      <c r="D254" s="192"/>
      <c r="F254" s="36"/>
      <c r="G254" s="36"/>
    </row>
    <row r="255" spans="1:7" x14ac:dyDescent="0.2">
      <c r="F255" s="36"/>
      <c r="G255" s="36"/>
    </row>
    <row r="256" spans="1:7" x14ac:dyDescent="0.2">
      <c r="F256" s="36"/>
      <c r="G256" s="36"/>
    </row>
    <row r="257" spans="6:7" x14ac:dyDescent="0.2">
      <c r="F257" s="36"/>
      <c r="G257" s="36"/>
    </row>
    <row r="258" spans="6:7" x14ac:dyDescent="0.2">
      <c r="F258" s="36"/>
      <c r="G258" s="36"/>
    </row>
    <row r="259" spans="6:7" x14ac:dyDescent="0.2">
      <c r="F259" s="36"/>
      <c r="G259" s="36"/>
    </row>
    <row r="260" spans="6:7" x14ac:dyDescent="0.2">
      <c r="G260" s="36"/>
    </row>
    <row r="296" spans="7:13" x14ac:dyDescent="0.2">
      <c r="G296" s="36"/>
    </row>
    <row r="299" spans="7:13" x14ac:dyDescent="0.2">
      <c r="G299" s="137"/>
    </row>
    <row r="300" spans="7:13" x14ac:dyDescent="0.2">
      <c r="L300" s="138"/>
    </row>
    <row r="302" spans="7:13" x14ac:dyDescent="0.2">
      <c r="M302" s="137"/>
    </row>
    <row r="308" spans="8:12" x14ac:dyDescent="0.2">
      <c r="K308" s="138"/>
    </row>
    <row r="309" spans="8:12" x14ac:dyDescent="0.2">
      <c r="H309" s="138"/>
      <c r="I309" s="138"/>
      <c r="J309" s="138"/>
    </row>
    <row r="315" spans="8:12" x14ac:dyDescent="0.2">
      <c r="L315" s="138"/>
    </row>
  </sheetData>
  <mergeCells count="2">
    <mergeCell ref="B3:O3"/>
    <mergeCell ref="D5:E5"/>
  </mergeCells>
  <pageMargins left="0.25" right="0.25" top="0.75" bottom="0.75" header="0.3" footer="0.3"/>
  <pageSetup paperSize="9" scale="5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Baro 01.05-31.08 2026</vt:lpstr>
      <vt:lpstr>'Baro 01.05-31.08 2026'!Yazdırma_Alanı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Gökhan Arslan</dc:creator>
  <cp:lastModifiedBy>Mustafa Söğütlü</cp:lastModifiedBy>
  <dcterms:created xsi:type="dcterms:W3CDTF">2026-09-22T13:30:58Z</dcterms:created>
  <dcterms:modified xsi:type="dcterms:W3CDTF">2026-09-23T09:21:28Z</dcterms:modified>
</cp:coreProperties>
</file>